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fbd5ad4b5bcd990/ALL MEETINGS/2026-27/3 June 2026/AGAR/"/>
    </mc:Choice>
  </mc:AlternateContent>
  <xr:revisionPtr revIDLastSave="0" documentId="8_{FE0A93AD-5D61-42D3-9514-9673E1713DE1}" xr6:coauthVersionLast="47" xr6:coauthVersionMax="47" xr10:uidLastSave="{00000000-0000-0000-0000-000000000000}"/>
  <bookViews>
    <workbookView xWindow="-110" yWindow="-110" windowWidth="38620" windowHeight="21100" tabRatio="869" xr2:uid="{00000000-000D-0000-FFFF-FFFF00000000}"/>
  </bookViews>
  <sheets>
    <sheet name="Assets" sheetId="6" r:id="rId1"/>
    <sheet name="Payments" sheetId="1" r:id="rId2"/>
    <sheet name="Reserves" sheetId="15" state="hidden" r:id="rId3"/>
    <sheet name="Receipts" sheetId="3" r:id="rId4"/>
    <sheet name="Transfers" sheetId="4" r:id="rId5"/>
    <sheet name="AGAR" sheetId="13" r:id="rId6"/>
    <sheet name="Bank Recons" sheetId="12" r:id="rId7"/>
    <sheet name="Budget" sheetId="11" r:id="rId8"/>
    <sheet name="Expenditure" sheetId="8" r:id="rId9"/>
    <sheet name="Precept" sheetId="10" r:id="rId10"/>
    <sheet name="Income" sheetId="9" r:id="rId11"/>
    <sheet name="Summaries" sheetId="21" r:id="rId12"/>
    <sheet name="SETUP" sheetId="2" r:id="rId13"/>
  </sheets>
  <definedNames>
    <definedName name="_xlnm._FilterDatabase" localSheetId="0" hidden="1">Assets!$B$5:$T$105</definedName>
    <definedName name="_xlnm._FilterDatabase" localSheetId="1" hidden="1">Payments!$A$5:$U$6</definedName>
    <definedName name="_xlnm._FilterDatabase" localSheetId="3" hidden="1">Receipts!$B$5:$I$5</definedName>
    <definedName name="_xlnm._FilterDatabase" localSheetId="4" hidden="1">Transfers!$B$5:$F$6</definedName>
    <definedName name="CY">SETUP!$C$13</definedName>
    <definedName name="_xlnm.Print_Area" localSheetId="5">AGAR!$H$12</definedName>
    <definedName name="_xlnm.Print_Area" localSheetId="6">'Bank Recons'!$B$1:$R$39</definedName>
    <definedName name="_xlnm.Print_Area" localSheetId="8">Expenditure!$B$1:$S$84</definedName>
    <definedName name="_xlnm.Print_Area" localSheetId="1">Payments!$B$5:$Q$5</definedName>
    <definedName name="_xlnm.Print_Area" localSheetId="3">Receipts!$E$1:$H$5</definedName>
    <definedName name="_xlnm.Print_Titles" localSheetId="0">Assets!$1:$5</definedName>
    <definedName name="_xlnm.Print_Titles" localSheetId="1">Payments!$5:$5</definedName>
    <definedName name="_xlnm.Print_Titles" localSheetId="3">Receipts!$1:$5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7" i="1" l="1"/>
  <c r="J87" i="1"/>
  <c r="J88" i="1"/>
  <c r="J113" i="1"/>
  <c r="J86" i="1"/>
  <c r="J85" i="1"/>
  <c r="J84" i="1"/>
  <c r="F84" i="1"/>
  <c r="F83" i="1"/>
  <c r="J82" i="1"/>
  <c r="F82" i="1"/>
  <c r="J81" i="1"/>
  <c r="F81" i="1"/>
  <c r="J80" i="1"/>
  <c r="F80" i="1"/>
  <c r="J79" i="1"/>
  <c r="F79" i="1"/>
  <c r="J78" i="1"/>
  <c r="F78" i="1"/>
  <c r="C8" i="12"/>
  <c r="J37" i="1"/>
  <c r="J35" i="1"/>
  <c r="F35" i="1"/>
  <c r="J33" i="1"/>
  <c r="F33" i="1"/>
  <c r="F32" i="1"/>
  <c r="J18" i="1"/>
  <c r="J14" i="1"/>
  <c r="F14" i="1"/>
  <c r="F77" i="1" l="1"/>
  <c r="J76" i="1"/>
  <c r="F76" i="1"/>
  <c r="J75" i="1"/>
  <c r="J74" i="1"/>
  <c r="F74" i="1"/>
  <c r="J73" i="1"/>
  <c r="F73" i="1"/>
  <c r="F72" i="1"/>
  <c r="F71" i="1"/>
  <c r="J70" i="1"/>
  <c r="F70" i="1"/>
  <c r="J69" i="1"/>
  <c r="F69" i="1"/>
  <c r="J68" i="1"/>
  <c r="F68" i="1"/>
  <c r="J67" i="1"/>
  <c r="F67" i="1"/>
  <c r="J66" i="1"/>
  <c r="F66" i="1"/>
  <c r="J65" i="1"/>
  <c r="F65" i="1"/>
  <c r="J64" i="1"/>
  <c r="F64" i="1"/>
  <c r="J63" i="1"/>
  <c r="F63" i="1"/>
  <c r="F62" i="1"/>
  <c r="F61" i="1"/>
  <c r="J60" i="1"/>
  <c r="F60" i="1"/>
  <c r="J59" i="1"/>
  <c r="J58" i="1"/>
  <c r="F58" i="1"/>
  <c r="J57" i="1"/>
  <c r="F57" i="1"/>
  <c r="J56" i="1"/>
  <c r="F56" i="1"/>
  <c r="F55" i="1"/>
  <c r="F54" i="1"/>
  <c r="J53" i="1"/>
  <c r="F53" i="1"/>
  <c r="J52" i="1"/>
  <c r="F52" i="1"/>
  <c r="J51" i="1"/>
  <c r="F51" i="1"/>
  <c r="J50" i="1"/>
  <c r="F50" i="1"/>
  <c r="J49" i="1"/>
  <c r="F49" i="1"/>
  <c r="J48" i="1"/>
  <c r="F48" i="1"/>
  <c r="J47" i="1"/>
  <c r="F47" i="1"/>
  <c r="J36" i="1"/>
  <c r="F36" i="1"/>
  <c r="J34" i="1"/>
  <c r="J23" i="1"/>
  <c r="F23" i="1"/>
  <c r="J22" i="1"/>
  <c r="F22" i="1"/>
  <c r="J21" i="1"/>
  <c r="J20" i="1"/>
  <c r="F19" i="1"/>
  <c r="F18" i="1"/>
  <c r="F17" i="1"/>
  <c r="F16" i="1"/>
  <c r="F15" i="1"/>
  <c r="J13" i="1"/>
  <c r="F13" i="1"/>
  <c r="F12" i="1"/>
  <c r="F11" i="1"/>
  <c r="F10" i="1"/>
  <c r="Q86" i="8"/>
  <c r="M39" i="12"/>
  <c r="M96" i="11" l="1"/>
  <c r="M9" i="11"/>
  <c r="M14" i="11"/>
  <c r="E12" i="13" l="1"/>
  <c r="B103" i="11" l="1"/>
  <c r="B97" i="11"/>
  <c r="B91" i="11"/>
  <c r="D84" i="11"/>
  <c r="M84" i="11"/>
  <c r="B84" i="11"/>
  <c r="E84" i="11" s="1"/>
  <c r="B78" i="11"/>
  <c r="D78" i="11" s="1"/>
  <c r="B79" i="11"/>
  <c r="M79" i="11" s="1"/>
  <c r="B80" i="11"/>
  <c r="G80" i="11" s="1"/>
  <c r="B81" i="11"/>
  <c r="G81" i="11" s="1"/>
  <c r="B82" i="11"/>
  <c r="G82" i="11" s="1"/>
  <c r="B83" i="11"/>
  <c r="G83" i="11" s="1"/>
  <c r="G77" i="11"/>
  <c r="B76" i="11"/>
  <c r="B85" i="11" s="1"/>
  <c r="B71" i="11"/>
  <c r="B74" i="11" s="1"/>
  <c r="B7" i="11"/>
  <c r="B22" i="11"/>
  <c r="B77" i="11"/>
  <c r="M77" i="11" s="1"/>
  <c r="G79" i="11" l="1"/>
  <c r="D77" i="11"/>
  <c r="M78" i="11"/>
  <c r="E77" i="11"/>
  <c r="G78" i="11"/>
  <c r="E83" i="11"/>
  <c r="M82" i="11"/>
  <c r="D81" i="11"/>
  <c r="E80" i="11"/>
  <c r="G84" i="11"/>
  <c r="M80" i="11"/>
  <c r="D79" i="11"/>
  <c r="E78" i="11"/>
  <c r="D83" i="11"/>
  <c r="E82" i="11"/>
  <c r="M83" i="11"/>
  <c r="D82" i="11"/>
  <c r="E81" i="11"/>
  <c r="M81" i="11"/>
  <c r="D80" i="11"/>
  <c r="E79" i="11"/>
  <c r="M85" i="11" l="1"/>
  <c r="G85" i="11"/>
  <c r="F32" i="21"/>
  <c r="D32" i="21"/>
  <c r="R58" i="8" l="1"/>
  <c r="R61" i="8"/>
  <c r="P62" i="8"/>
  <c r="R62" i="8"/>
  <c r="B57" i="8"/>
  <c r="C25" i="21" s="1"/>
  <c r="B58" i="8"/>
  <c r="C26" i="21" s="1"/>
  <c r="B59" i="8"/>
  <c r="B60" i="8"/>
  <c r="B61" i="8"/>
  <c r="B62" i="8"/>
  <c r="C30" i="21" s="1"/>
  <c r="B63" i="8"/>
  <c r="C31" i="21" s="1"/>
  <c r="B64" i="8"/>
  <c r="B55" i="8"/>
  <c r="B50" i="8"/>
  <c r="B53" i="8"/>
  <c r="Q45" i="2"/>
  <c r="N78" i="11" s="1"/>
  <c r="Q46" i="2"/>
  <c r="N79" i="11" s="1"/>
  <c r="Q47" i="2"/>
  <c r="N80" i="11" s="1"/>
  <c r="Q48" i="2"/>
  <c r="N81" i="11" s="1"/>
  <c r="Q49" i="2"/>
  <c r="N82" i="11" s="1"/>
  <c r="Q50" i="2"/>
  <c r="N83" i="11" s="1"/>
  <c r="Q51" i="2"/>
  <c r="P57" i="8" l="1"/>
  <c r="P61" i="8"/>
  <c r="P58" i="8"/>
  <c r="R59" i="8"/>
  <c r="C29" i="21"/>
  <c r="R63" i="8"/>
  <c r="P59" i="8"/>
  <c r="C28" i="21"/>
  <c r="P63" i="8"/>
  <c r="R60" i="8"/>
  <c r="C27" i="21"/>
  <c r="P60" i="8"/>
  <c r="R57" i="8"/>
  <c r="E8" i="13" l="1"/>
  <c r="E9" i="13" s="1"/>
  <c r="B7" i="9" l="1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74" i="8"/>
  <c r="B75" i="8"/>
  <c r="B56" i="8"/>
  <c r="B52" i="8"/>
  <c r="B51" i="8"/>
  <c r="E85" i="11"/>
  <c r="B73" i="11"/>
  <c r="E73" i="11" s="1"/>
  <c r="B72" i="11"/>
  <c r="M72" i="11" s="1"/>
  <c r="M74" i="11" s="1"/>
  <c r="B67" i="11"/>
  <c r="E67" i="11" s="1"/>
  <c r="B68" i="11"/>
  <c r="E68" i="11" s="1"/>
  <c r="B57" i="11"/>
  <c r="B58" i="11"/>
  <c r="B59" i="11"/>
  <c r="B60" i="11"/>
  <c r="B61" i="11"/>
  <c r="B62" i="11"/>
  <c r="B47" i="11"/>
  <c r="B48" i="11"/>
  <c r="B49" i="11"/>
  <c r="B50" i="11"/>
  <c r="B51" i="11"/>
  <c r="B52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E72" i="11" l="1"/>
  <c r="R56" i="8"/>
  <c r="R64" i="8" s="1"/>
  <c r="C24" i="21"/>
  <c r="G68" i="11"/>
  <c r="D72" i="11"/>
  <c r="G73" i="11"/>
  <c r="D67" i="11"/>
  <c r="G72" i="11"/>
  <c r="G67" i="11"/>
  <c r="D68" i="11"/>
  <c r="D73" i="11"/>
  <c r="D85" i="11"/>
  <c r="P56" i="8"/>
  <c r="P64" i="8" s="1"/>
  <c r="R52" i="8"/>
  <c r="P52" i="8"/>
  <c r="R51" i="8" l="1"/>
  <c r="R53" i="8" s="1"/>
  <c r="P51" i="8"/>
  <c r="P53" i="8" s="1"/>
  <c r="Q44" i="2" l="1"/>
  <c r="N77" i="11" s="1"/>
  <c r="N85" i="11" s="1"/>
  <c r="Q42" i="2"/>
  <c r="Q41" i="2"/>
  <c r="N72" i="11" s="1"/>
  <c r="R74" i="8" l="1"/>
  <c r="Q58" i="2" l="1"/>
  <c r="Q59" i="2"/>
  <c r="Q54" i="2"/>
  <c r="Q55" i="2"/>
  <c r="Q38" i="2"/>
  <c r="Q39" i="2"/>
  <c r="Q34" i="2"/>
  <c r="Q35" i="2"/>
  <c r="Q26" i="2"/>
  <c r="Q27" i="2"/>
  <c r="Q18" i="2"/>
  <c r="N84" i="11" s="1"/>
  <c r="Q19" i="2"/>
  <c r="B99" i="11"/>
  <c r="B100" i="11"/>
  <c r="E100" i="11" l="1"/>
  <c r="G100" i="11"/>
  <c r="D100" i="11"/>
  <c r="M100" i="11"/>
  <c r="N101" i="11"/>
  <c r="N68" i="11"/>
  <c r="N67" i="11"/>
  <c r="N73" i="11"/>
  <c r="B28" i="11"/>
  <c r="B45" i="11"/>
  <c r="B53" i="11" s="1"/>
  <c r="B46" i="11"/>
  <c r="B55" i="11"/>
  <c r="B63" i="11" s="1"/>
  <c r="B56" i="11"/>
  <c r="B65" i="11"/>
  <c r="B69" i="11" s="1"/>
  <c r="B66" i="11"/>
  <c r="B87" i="11"/>
  <c r="B88" i="11"/>
  <c r="B89" i="11"/>
  <c r="B90" i="11"/>
  <c r="N90" i="11" s="1"/>
  <c r="B93" i="11"/>
  <c r="B94" i="11"/>
  <c r="B95" i="11"/>
  <c r="N95" i="11" s="1"/>
  <c r="B96" i="11"/>
  <c r="B101" i="11"/>
  <c r="B102" i="11"/>
  <c r="B80" i="8"/>
  <c r="P80" i="8" s="1"/>
  <c r="B81" i="8"/>
  <c r="P74" i="8"/>
  <c r="R75" i="8"/>
  <c r="B68" i="8"/>
  <c r="B69" i="8"/>
  <c r="B46" i="8"/>
  <c r="R46" i="8" s="1"/>
  <c r="B47" i="8"/>
  <c r="B40" i="8"/>
  <c r="R40" i="8" s="1"/>
  <c r="B41" i="8"/>
  <c r="R41" i="8" s="1"/>
  <c r="B30" i="8"/>
  <c r="R30" i="8" s="1"/>
  <c r="B31" i="8"/>
  <c r="R31" i="8" s="1"/>
  <c r="B20" i="8"/>
  <c r="P20" i="8" s="1"/>
  <c r="B21" i="8"/>
  <c r="R21" i="8" s="1"/>
  <c r="Q62" i="2"/>
  <c r="Q63" i="2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4" i="8"/>
  <c r="B32" i="8" s="1"/>
  <c r="B25" i="8"/>
  <c r="B26" i="8"/>
  <c r="B27" i="8"/>
  <c r="B28" i="8"/>
  <c r="B29" i="8"/>
  <c r="B34" i="8"/>
  <c r="B42" i="8" s="1"/>
  <c r="B35" i="8"/>
  <c r="B36" i="8"/>
  <c r="B37" i="8"/>
  <c r="P37" i="8" s="1"/>
  <c r="B38" i="8"/>
  <c r="P38" i="8" s="1"/>
  <c r="B39" i="8"/>
  <c r="B44" i="8"/>
  <c r="B48" i="8" s="1"/>
  <c r="B45" i="8"/>
  <c r="B66" i="8"/>
  <c r="B70" i="8" s="1"/>
  <c r="B67" i="8"/>
  <c r="B72" i="8"/>
  <c r="B76" i="8" s="1"/>
  <c r="B73" i="8"/>
  <c r="P73" i="8" s="1"/>
  <c r="B78" i="8"/>
  <c r="B82" i="8" s="1"/>
  <c r="B79" i="8"/>
  <c r="Q33" i="2"/>
  <c r="Q37" i="2"/>
  <c r="Q53" i="2"/>
  <c r="Q57" i="2"/>
  <c r="Q61" i="2"/>
  <c r="N100" i="11" s="1"/>
  <c r="N94" i="11" l="1"/>
  <c r="G89" i="11"/>
  <c r="D89" i="11"/>
  <c r="E89" i="11"/>
  <c r="E96" i="11"/>
  <c r="D96" i="11"/>
  <c r="G96" i="11"/>
  <c r="N66" i="11"/>
  <c r="G102" i="11"/>
  <c r="D102" i="11"/>
  <c r="E102" i="11"/>
  <c r="M88" i="11"/>
  <c r="G88" i="11"/>
  <c r="E88" i="11"/>
  <c r="D88" i="11"/>
  <c r="G101" i="11"/>
  <c r="E101" i="11"/>
  <c r="D101" i="11"/>
  <c r="N102" i="11"/>
  <c r="D66" i="11"/>
  <c r="D69" i="11" s="1"/>
  <c r="M66" i="11"/>
  <c r="G66" i="11"/>
  <c r="E66" i="11"/>
  <c r="N89" i="11"/>
  <c r="N88" i="11"/>
  <c r="D95" i="11"/>
  <c r="M95" i="11"/>
  <c r="G95" i="11"/>
  <c r="E95" i="11"/>
  <c r="G94" i="11"/>
  <c r="E94" i="11"/>
  <c r="D94" i="11"/>
  <c r="M94" i="11"/>
  <c r="N96" i="11"/>
  <c r="R80" i="8"/>
  <c r="D90" i="11"/>
  <c r="G90" i="11"/>
  <c r="E90" i="11"/>
  <c r="R20" i="8"/>
  <c r="M59" i="11"/>
  <c r="D59" i="11"/>
  <c r="E59" i="11"/>
  <c r="G59" i="11"/>
  <c r="D49" i="11"/>
  <c r="E49" i="11"/>
  <c r="M49" i="11"/>
  <c r="G49" i="11"/>
  <c r="D39" i="11"/>
  <c r="E39" i="11"/>
  <c r="M39" i="11"/>
  <c r="G39" i="11"/>
  <c r="M35" i="11"/>
  <c r="E35" i="11"/>
  <c r="G35" i="11"/>
  <c r="D35" i="11"/>
  <c r="D31" i="11"/>
  <c r="E31" i="11"/>
  <c r="M31" i="11"/>
  <c r="G31" i="11"/>
  <c r="D62" i="11"/>
  <c r="N62" i="11"/>
  <c r="E62" i="11"/>
  <c r="G62" i="11"/>
  <c r="D58" i="11"/>
  <c r="E58" i="11"/>
  <c r="M58" i="11"/>
  <c r="G58" i="11"/>
  <c r="E52" i="11"/>
  <c r="G52" i="11"/>
  <c r="D52" i="11"/>
  <c r="N52" i="11"/>
  <c r="E48" i="11"/>
  <c r="G48" i="11"/>
  <c r="M48" i="11"/>
  <c r="D48" i="11"/>
  <c r="E42" i="11"/>
  <c r="G42" i="11"/>
  <c r="D42" i="11"/>
  <c r="D38" i="11"/>
  <c r="E38" i="11"/>
  <c r="M38" i="11"/>
  <c r="G38" i="11"/>
  <c r="E34" i="11"/>
  <c r="G34" i="11"/>
  <c r="D34" i="11"/>
  <c r="M34" i="11"/>
  <c r="D30" i="11"/>
  <c r="E30" i="11"/>
  <c r="M30" i="11"/>
  <c r="G30" i="11"/>
  <c r="E61" i="11"/>
  <c r="G61" i="11"/>
  <c r="N61" i="11"/>
  <c r="D61" i="11"/>
  <c r="E57" i="11"/>
  <c r="G57" i="11"/>
  <c r="M57" i="11"/>
  <c r="D57" i="11"/>
  <c r="G51" i="11"/>
  <c r="D51" i="11"/>
  <c r="N51" i="11"/>
  <c r="E51" i="11"/>
  <c r="G47" i="11"/>
  <c r="M47" i="11"/>
  <c r="D47" i="11"/>
  <c r="E47" i="11"/>
  <c r="D41" i="11"/>
  <c r="G41" i="11"/>
  <c r="E41" i="11"/>
  <c r="D37" i="11"/>
  <c r="M37" i="11"/>
  <c r="G37" i="11"/>
  <c r="E37" i="11"/>
  <c r="D33" i="11"/>
  <c r="M33" i="11"/>
  <c r="G33" i="11"/>
  <c r="E33" i="11"/>
  <c r="D29" i="11"/>
  <c r="M29" i="11"/>
  <c r="G29" i="11"/>
  <c r="E29" i="11"/>
  <c r="G60" i="11"/>
  <c r="M60" i="11"/>
  <c r="D60" i="11"/>
  <c r="N60" i="11"/>
  <c r="E60" i="11"/>
  <c r="E56" i="11"/>
  <c r="D56" i="11"/>
  <c r="M56" i="11"/>
  <c r="G56" i="11"/>
  <c r="M50" i="11"/>
  <c r="D50" i="11"/>
  <c r="E50" i="11"/>
  <c r="G50" i="11"/>
  <c r="D46" i="11"/>
  <c r="M46" i="11"/>
  <c r="G46" i="11"/>
  <c r="E46" i="11"/>
  <c r="D40" i="11"/>
  <c r="M40" i="11"/>
  <c r="E40" i="11"/>
  <c r="G40" i="11"/>
  <c r="D36" i="11"/>
  <c r="M36" i="11"/>
  <c r="E36" i="11"/>
  <c r="G36" i="11"/>
  <c r="D32" i="11"/>
  <c r="M32" i="11"/>
  <c r="E32" i="11"/>
  <c r="G32" i="11"/>
  <c r="M28" i="11"/>
  <c r="E28" i="11"/>
  <c r="G28" i="11"/>
  <c r="D28" i="11"/>
  <c r="P30" i="8"/>
  <c r="P40" i="8"/>
  <c r="P46" i="8"/>
  <c r="P68" i="8"/>
  <c r="R68" i="8"/>
  <c r="N41" i="11"/>
  <c r="N42" i="11"/>
  <c r="P81" i="8"/>
  <c r="R81" i="8"/>
  <c r="P75" i="8"/>
  <c r="P76" i="8" s="1"/>
  <c r="P69" i="8"/>
  <c r="R69" i="8"/>
  <c r="P47" i="8"/>
  <c r="R47" i="8"/>
  <c r="P41" i="8"/>
  <c r="P31" i="8"/>
  <c r="P21" i="8"/>
  <c r="R38" i="8"/>
  <c r="R73" i="8"/>
  <c r="R76" i="8" s="1"/>
  <c r="R37" i="8"/>
  <c r="P45" i="8"/>
  <c r="R45" i="8"/>
  <c r="P67" i="8"/>
  <c r="R67" i="8"/>
  <c r="R79" i="8"/>
  <c r="R39" i="8"/>
  <c r="P79" i="8"/>
  <c r="P39" i="8"/>
  <c r="G103" i="11" l="1"/>
  <c r="G43" i="11"/>
  <c r="P70" i="8"/>
  <c r="R82" i="8"/>
  <c r="R70" i="8"/>
  <c r="P82" i="8"/>
  <c r="P48" i="8"/>
  <c r="N103" i="11"/>
  <c r="G97" i="11"/>
  <c r="D103" i="11"/>
  <c r="E103" i="11"/>
  <c r="E97" i="11"/>
  <c r="R48" i="8"/>
  <c r="D97" i="11"/>
  <c r="M103" i="11"/>
  <c r="M69" i="11"/>
  <c r="M97" i="11"/>
  <c r="D91" i="11"/>
  <c r="G69" i="11"/>
  <c r="N97" i="11"/>
  <c r="G91" i="11"/>
  <c r="N69" i="11"/>
  <c r="D63" i="11"/>
  <c r="M91" i="11"/>
  <c r="E69" i="11"/>
  <c r="E91" i="11"/>
  <c r="N91" i="11"/>
  <c r="E63" i="11"/>
  <c r="D53" i="11"/>
  <c r="D43" i="11"/>
  <c r="G63" i="11"/>
  <c r="M53" i="11"/>
  <c r="G53" i="11"/>
  <c r="M43" i="11"/>
  <c r="M63" i="11"/>
  <c r="E53" i="11"/>
  <c r="E43" i="11"/>
  <c r="M105" i="11" l="1"/>
  <c r="E105" i="11"/>
  <c r="G105" i="11"/>
  <c r="D105" i="11"/>
  <c r="R15" i="9" l="1"/>
  <c r="R16" i="9"/>
  <c r="R20" i="9"/>
  <c r="AB17" i="2"/>
  <c r="AB18" i="2"/>
  <c r="AB13" i="2"/>
  <c r="AB14" i="2"/>
  <c r="AB15" i="2"/>
  <c r="AB16" i="2"/>
  <c r="Q30" i="2"/>
  <c r="N57" i="11" s="1"/>
  <c r="Q31" i="2"/>
  <c r="N58" i="11" s="1"/>
  <c r="Q32" i="2"/>
  <c r="N59" i="11" s="1"/>
  <c r="M18" i="11" l="1"/>
  <c r="E18" i="11"/>
  <c r="D18" i="11"/>
  <c r="G18" i="11"/>
  <c r="E21" i="11"/>
  <c r="D21" i="11"/>
  <c r="M21" i="11"/>
  <c r="G21" i="11"/>
  <c r="E17" i="11"/>
  <c r="D17" i="11"/>
  <c r="G17" i="11"/>
  <c r="M17" i="11"/>
  <c r="G19" i="11"/>
  <c r="M19" i="11"/>
  <c r="E19" i="11"/>
  <c r="D19" i="11"/>
  <c r="E20" i="11"/>
  <c r="D20" i="11"/>
  <c r="G20" i="11"/>
  <c r="M20" i="11"/>
  <c r="E16" i="11"/>
  <c r="D16" i="11"/>
  <c r="G16" i="11"/>
  <c r="M16" i="11"/>
  <c r="P15" i="9"/>
  <c r="R36" i="8"/>
  <c r="P36" i="8"/>
  <c r="R18" i="9"/>
  <c r="P18" i="9"/>
  <c r="R17" i="9"/>
  <c r="R19" i="9"/>
  <c r="P19" i="9"/>
  <c r="P16" i="9"/>
  <c r="P20" i="9"/>
  <c r="P17" i="9"/>
  <c r="B1" i="21" l="1"/>
  <c r="B1" i="10"/>
  <c r="B1" i="9"/>
  <c r="B1" i="8"/>
  <c r="B1" i="11"/>
  <c r="B1" i="12" l="1"/>
  <c r="B1" i="13"/>
  <c r="B1" i="4"/>
  <c r="B1" i="3"/>
  <c r="B1" i="1" l="1"/>
  <c r="B1" i="6"/>
  <c r="D18" i="21" l="1"/>
  <c r="C6" i="21" l="1"/>
  <c r="C7" i="21"/>
  <c r="C5" i="21"/>
  <c r="C4" i="12" l="1"/>
  <c r="L4" i="12"/>
  <c r="D38" i="21"/>
  <c r="D37" i="21"/>
  <c r="D11" i="21"/>
  <c r="R25" i="8"/>
  <c r="Q8" i="2"/>
  <c r="N31" i="11" s="1"/>
  <c r="B6" i="8"/>
  <c r="Q29" i="2"/>
  <c r="B22" i="8" l="1"/>
  <c r="M50" i="2" s="1"/>
  <c r="I83" i="11" s="1"/>
  <c r="M48" i="2"/>
  <c r="I81" i="11" s="1"/>
  <c r="M51" i="2"/>
  <c r="N56" i="11"/>
  <c r="N63" i="11" s="1"/>
  <c r="G11" i="11"/>
  <c r="E11" i="11"/>
  <c r="D11" i="11"/>
  <c r="G15" i="11"/>
  <c r="M15" i="11"/>
  <c r="D15" i="11"/>
  <c r="E15" i="11"/>
  <c r="E13" i="11"/>
  <c r="D13" i="11"/>
  <c r="M13" i="11"/>
  <c r="G13" i="11"/>
  <c r="E9" i="11"/>
  <c r="D9" i="11"/>
  <c r="G9" i="11"/>
  <c r="E12" i="11"/>
  <c r="D12" i="11"/>
  <c r="G12" i="11"/>
  <c r="M12" i="11"/>
  <c r="E8" i="11"/>
  <c r="D8" i="11"/>
  <c r="G8" i="11"/>
  <c r="E14" i="11"/>
  <c r="D14" i="11"/>
  <c r="G14" i="11"/>
  <c r="M10" i="11"/>
  <c r="E10" i="11"/>
  <c r="D10" i="11"/>
  <c r="G10" i="11"/>
  <c r="M42" i="2"/>
  <c r="M26" i="2"/>
  <c r="M55" i="2"/>
  <c r="M35" i="2"/>
  <c r="M34" i="2"/>
  <c r="M19" i="2"/>
  <c r="M54" i="2"/>
  <c r="M38" i="2"/>
  <c r="M27" i="2"/>
  <c r="M39" i="2"/>
  <c r="M58" i="2"/>
  <c r="I95" i="11" s="1"/>
  <c r="M18" i="2"/>
  <c r="I84" i="11" s="1"/>
  <c r="M59" i="2"/>
  <c r="M63" i="2"/>
  <c r="M62" i="2"/>
  <c r="M37" i="2"/>
  <c r="I66" i="11" s="1"/>
  <c r="M53" i="2"/>
  <c r="I88" i="11" s="1"/>
  <c r="M61" i="2"/>
  <c r="I100" i="11" s="1"/>
  <c r="P25" i="8"/>
  <c r="P26" i="8"/>
  <c r="R26" i="8"/>
  <c r="R10" i="8"/>
  <c r="P10" i="8"/>
  <c r="M33" i="2" l="1"/>
  <c r="I60" i="11" s="1"/>
  <c r="M45" i="2"/>
  <c r="I78" i="11" s="1"/>
  <c r="M57" i="2"/>
  <c r="I94" i="11" s="1"/>
  <c r="M41" i="2"/>
  <c r="I72" i="11" s="1"/>
  <c r="M49" i="2"/>
  <c r="I82" i="11" s="1"/>
  <c r="M44" i="2"/>
  <c r="I77" i="11" s="1"/>
  <c r="M47" i="2"/>
  <c r="I80" i="11" s="1"/>
  <c r="M46" i="2"/>
  <c r="I79" i="11" s="1"/>
  <c r="I102" i="11"/>
  <c r="I67" i="11"/>
  <c r="I96" i="11"/>
  <c r="I73" i="11"/>
  <c r="I101" i="11"/>
  <c r="I68" i="11"/>
  <c r="I90" i="11"/>
  <c r="I89" i="11"/>
  <c r="I62" i="11"/>
  <c r="I61" i="11"/>
  <c r="I52" i="11"/>
  <c r="I42" i="11"/>
  <c r="I51" i="11"/>
  <c r="I41" i="11"/>
  <c r="Q16" i="2"/>
  <c r="N39" i="11" s="1"/>
  <c r="I85" i="11" l="1"/>
  <c r="I97" i="11"/>
  <c r="I91" i="11"/>
  <c r="I103" i="11"/>
  <c r="I69" i="11"/>
  <c r="C21" i="2"/>
  <c r="D17" i="21" s="1"/>
  <c r="D9" i="21"/>
  <c r="Q10" i="2"/>
  <c r="N33" i="11" s="1"/>
  <c r="AB5" i="2" l="1"/>
  <c r="N8" i="11" s="1"/>
  <c r="AB8" i="2"/>
  <c r="N11" i="11" s="1"/>
  <c r="AB6" i="2"/>
  <c r="N9" i="11" s="1"/>
  <c r="AB12" i="2"/>
  <c r="AB7" i="2"/>
  <c r="N10" i="11" s="1"/>
  <c r="AB9" i="2"/>
  <c r="N12" i="11" s="1"/>
  <c r="AB10" i="2"/>
  <c r="N13" i="11" s="1"/>
  <c r="AB11" i="2"/>
  <c r="N14" i="11" s="1"/>
  <c r="AB4" i="2"/>
  <c r="N20" i="11" l="1"/>
  <c r="N18" i="11"/>
  <c r="N21" i="11"/>
  <c r="N19" i="11"/>
  <c r="N16" i="11"/>
  <c r="N17" i="11"/>
  <c r="N15" i="11"/>
  <c r="R35" i="8"/>
  <c r="R42" i="8" s="1"/>
  <c r="Q11" i="2"/>
  <c r="N34" i="11" s="1"/>
  <c r="Q17" i="2"/>
  <c r="N40" i="11" s="1"/>
  <c r="Q6" i="2"/>
  <c r="N29" i="11" s="1"/>
  <c r="Q24" i="2"/>
  <c r="N49" i="11" s="1"/>
  <c r="Q23" i="2"/>
  <c r="N48" i="11" s="1"/>
  <c r="Q5" i="2"/>
  <c r="N28" i="11" s="1"/>
  <c r="Q7" i="2"/>
  <c r="N30" i="11" s="1"/>
  <c r="Q9" i="2"/>
  <c r="N32" i="11" s="1"/>
  <c r="Q12" i="2"/>
  <c r="N35" i="11" s="1"/>
  <c r="Q13" i="2"/>
  <c r="N36" i="11" s="1"/>
  <c r="Q14" i="2"/>
  <c r="N37" i="11" s="1"/>
  <c r="Q15" i="2"/>
  <c r="N38" i="11" s="1"/>
  <c r="Q25" i="2"/>
  <c r="N50" i="11" s="1"/>
  <c r="Q22" i="2"/>
  <c r="N47" i="11" s="1"/>
  <c r="N43" i="11" l="1"/>
  <c r="P35" i="8"/>
  <c r="P42" i="8" s="1"/>
  <c r="B27" i="11" l="1"/>
  <c r="B43" i="11" s="1"/>
  <c r="R7" i="8"/>
  <c r="R8" i="8"/>
  <c r="R9" i="8"/>
  <c r="R12" i="8"/>
  <c r="R14" i="8"/>
  <c r="R15" i="8"/>
  <c r="R17" i="8"/>
  <c r="R18" i="8"/>
  <c r="R19" i="8"/>
  <c r="R27" i="8"/>
  <c r="R29" i="8"/>
  <c r="G17" i="13"/>
  <c r="G11" i="13"/>
  <c r="Q23" i="9"/>
  <c r="R16" i="8" l="1"/>
  <c r="R11" i="8"/>
  <c r="R28" i="8"/>
  <c r="R32" i="8" s="1"/>
  <c r="P9" i="9"/>
  <c r="R9" i="9"/>
  <c r="P13" i="8"/>
  <c r="R13" i="8"/>
  <c r="Q21" i="2"/>
  <c r="P27" i="8"/>
  <c r="P16" i="8"/>
  <c r="P9" i="8"/>
  <c r="P17" i="8"/>
  <c r="P29" i="8"/>
  <c r="P19" i="8"/>
  <c r="P15" i="8"/>
  <c r="P8" i="8"/>
  <c r="P28" i="8"/>
  <c r="P18" i="8"/>
  <c r="P14" i="8"/>
  <c r="P11" i="8"/>
  <c r="P7" i="8"/>
  <c r="P12" i="8"/>
  <c r="N46" i="11" l="1"/>
  <c r="N53" i="11" s="1"/>
  <c r="N105" i="11" s="1"/>
  <c r="P22" i="8"/>
  <c r="P32" i="8"/>
  <c r="R22" i="8"/>
  <c r="R84" i="8" s="1"/>
  <c r="M30" i="2"/>
  <c r="I57" i="11" s="1"/>
  <c r="M31" i="2"/>
  <c r="I58" i="11" s="1"/>
  <c r="M32" i="2"/>
  <c r="I59" i="11" s="1"/>
  <c r="D19" i="21"/>
  <c r="D20" i="21" s="1"/>
  <c r="C23" i="12"/>
  <c r="G26" i="12" s="1"/>
  <c r="I26" i="12" s="1"/>
  <c r="D6" i="13"/>
  <c r="E6" i="13" s="1"/>
  <c r="R7" i="9"/>
  <c r="R8" i="9"/>
  <c r="R10" i="9"/>
  <c r="R11" i="9"/>
  <c r="R12" i="9"/>
  <c r="R13" i="9"/>
  <c r="R14" i="9"/>
  <c r="B6" i="9"/>
  <c r="C14" i="2"/>
  <c r="M7" i="11" l="1"/>
  <c r="M22" i="11" s="1"/>
  <c r="N7" i="11"/>
  <c r="E7" i="11"/>
  <c r="G7" i="11"/>
  <c r="D7" i="11"/>
  <c r="P84" i="8"/>
  <c r="R6" i="9"/>
  <c r="R21" i="9" s="1"/>
  <c r="M25" i="11"/>
  <c r="B108" i="11"/>
  <c r="E4" i="10"/>
  <c r="AA2" i="2"/>
  <c r="P2" i="2"/>
  <c r="M5" i="11"/>
  <c r="P14" i="9"/>
  <c r="P12" i="9"/>
  <c r="P11" i="9"/>
  <c r="P8" i="9"/>
  <c r="P13" i="9"/>
  <c r="P10" i="9"/>
  <c r="P6" i="9"/>
  <c r="P7" i="9"/>
  <c r="P21" i="9" l="1"/>
  <c r="D10" i="21" s="1"/>
  <c r="E22" i="11"/>
  <c r="D22" i="11"/>
  <c r="G22" i="11"/>
  <c r="X18" i="2"/>
  <c r="X13" i="2"/>
  <c r="X17" i="2"/>
  <c r="X16" i="2"/>
  <c r="X14" i="2"/>
  <c r="X15" i="2"/>
  <c r="D110" i="11" l="1"/>
  <c r="E7" i="13" l="1"/>
  <c r="E13" i="13" s="1"/>
  <c r="M8" i="2" l="1"/>
  <c r="I31" i="11" s="1"/>
  <c r="M29" i="2"/>
  <c r="M16" i="2"/>
  <c r="I39" i="11" s="1"/>
  <c r="M10" i="2"/>
  <c r="I33" i="11" s="1"/>
  <c r="X12" i="2"/>
  <c r="X10" i="2"/>
  <c r="I13" i="11" s="1"/>
  <c r="X5" i="2"/>
  <c r="I8" i="11" s="1"/>
  <c r="X11" i="2"/>
  <c r="I14" i="11" s="1"/>
  <c r="X6" i="2"/>
  <c r="I9" i="11" s="1"/>
  <c r="X9" i="2"/>
  <c r="I12" i="11" s="1"/>
  <c r="X4" i="2"/>
  <c r="I7" i="11" s="1"/>
  <c r="X7" i="2"/>
  <c r="I10" i="11" s="1"/>
  <c r="X8" i="2"/>
  <c r="I11" i="11" s="1"/>
  <c r="M11" i="2"/>
  <c r="I34" i="11" s="1"/>
  <c r="M6" i="2"/>
  <c r="I29" i="11" s="1"/>
  <c r="M17" i="2"/>
  <c r="I40" i="11" s="1"/>
  <c r="M24" i="2"/>
  <c r="I49" i="11" s="1"/>
  <c r="M23" i="2"/>
  <c r="I48" i="11" s="1"/>
  <c r="M12" i="2"/>
  <c r="I35" i="11" s="1"/>
  <c r="M13" i="2"/>
  <c r="I36" i="11" s="1"/>
  <c r="M25" i="2"/>
  <c r="I50" i="11" s="1"/>
  <c r="M7" i="2"/>
  <c r="I30" i="11" s="1"/>
  <c r="M21" i="2"/>
  <c r="I46" i="11" s="1"/>
  <c r="M5" i="2"/>
  <c r="I28" i="11" s="1"/>
  <c r="M14" i="2"/>
  <c r="I37" i="11" s="1"/>
  <c r="M9" i="2"/>
  <c r="I32" i="11" s="1"/>
  <c r="M15" i="2"/>
  <c r="I38" i="11" s="1"/>
  <c r="G7" i="12"/>
  <c r="I20" i="11" l="1"/>
  <c r="I18" i="11"/>
  <c r="I17" i="11"/>
  <c r="I16" i="11"/>
  <c r="I21" i="11"/>
  <c r="I19" i="11"/>
  <c r="I15" i="11"/>
  <c r="I56" i="11"/>
  <c r="I63" i="11" s="1"/>
  <c r="I43" i="11"/>
  <c r="P7" i="12"/>
  <c r="R7" i="12" s="1"/>
  <c r="J8" i="6"/>
  <c r="J7" i="6"/>
  <c r="J6" i="6"/>
  <c r="F16" i="13" s="1"/>
  <c r="I22" i="11" l="1"/>
  <c r="D109" i="11"/>
  <c r="D112" i="11" s="1"/>
  <c r="E6" i="10" s="1"/>
  <c r="F6" i="10" l="1"/>
  <c r="E7" i="10"/>
  <c r="N22" i="11"/>
  <c r="F7" i="10" l="1"/>
  <c r="I7" i="10" s="1"/>
  <c r="E8" i="10"/>
  <c r="H6" i="10"/>
  <c r="G6" i="10"/>
  <c r="I6" i="10"/>
  <c r="J6" i="10" s="1"/>
  <c r="C9" i="15"/>
  <c r="Q85" i="8"/>
  <c r="E9" i="10" l="1"/>
  <c r="F8" i="10"/>
  <c r="H7" i="10"/>
  <c r="J7" i="10"/>
  <c r="G7" i="10"/>
  <c r="M22" i="2"/>
  <c r="I47" i="11" l="1"/>
  <c r="I53" i="11" s="1"/>
  <c r="I105" i="11" s="1"/>
  <c r="H8" i="10"/>
  <c r="I8" i="10"/>
  <c r="J8" i="10" s="1"/>
  <c r="G8" i="10"/>
  <c r="E10" i="10"/>
  <c r="F9" i="10"/>
  <c r="F10" i="10" l="1"/>
  <c r="E11" i="10"/>
  <c r="H9" i="10"/>
  <c r="G9" i="10"/>
  <c r="I9" i="10"/>
  <c r="J9" i="10" s="1"/>
  <c r="F11" i="10" l="1"/>
  <c r="E12" i="10"/>
  <c r="I10" i="10"/>
  <c r="J10" i="10" s="1"/>
  <c r="G10" i="10"/>
  <c r="H10" i="10"/>
  <c r="B1" i="15"/>
  <c r="F12" i="10" l="1"/>
  <c r="E13" i="10"/>
  <c r="G11" i="10"/>
  <c r="I11" i="10"/>
  <c r="J11" i="10" s="1"/>
  <c r="H11" i="10"/>
  <c r="F13" i="10" l="1"/>
  <c r="E14" i="10"/>
  <c r="G12" i="10"/>
  <c r="I12" i="10"/>
  <c r="J12" i="10" s="1"/>
  <c r="H12" i="10"/>
  <c r="B8" i="12"/>
  <c r="B27" i="12" s="1"/>
  <c r="E15" i="10" l="1"/>
  <c r="F14" i="10"/>
  <c r="H13" i="10"/>
  <c r="I13" i="10"/>
  <c r="J13" i="10" s="1"/>
  <c r="G13" i="10"/>
  <c r="D27" i="12"/>
  <c r="E27" i="12"/>
  <c r="F27" i="12"/>
  <c r="C27" i="12"/>
  <c r="B28" i="12"/>
  <c r="E8" i="12"/>
  <c r="D8" i="12"/>
  <c r="F8" i="12"/>
  <c r="G14" i="10" l="1"/>
  <c r="I14" i="10"/>
  <c r="J14" i="10" s="1"/>
  <c r="H14" i="10"/>
  <c r="F15" i="10"/>
  <c r="E16" i="10"/>
  <c r="F28" i="12"/>
  <c r="C28" i="12"/>
  <c r="D28" i="12"/>
  <c r="E28" i="12"/>
  <c r="G27" i="12"/>
  <c r="I27" i="12" s="1"/>
  <c r="B29" i="12"/>
  <c r="F10" i="13"/>
  <c r="G10" i="13" s="1"/>
  <c r="F9" i="13"/>
  <c r="G9" i="13" s="1"/>
  <c r="F8" i="13"/>
  <c r="G8" i="13" s="1"/>
  <c r="F7" i="13"/>
  <c r="G7" i="13" s="1"/>
  <c r="F11" i="13"/>
  <c r="F17" i="13"/>
  <c r="I7" i="12"/>
  <c r="K8" i="12"/>
  <c r="B9" i="12"/>
  <c r="Q22" i="9"/>
  <c r="C4" i="9"/>
  <c r="I15" i="10" l="1"/>
  <c r="J15" i="10" s="1"/>
  <c r="G15" i="10"/>
  <c r="H15" i="10"/>
  <c r="E17" i="10"/>
  <c r="F16" i="10"/>
  <c r="C19" i="9"/>
  <c r="C18" i="9"/>
  <c r="C16" i="9"/>
  <c r="C20" i="9"/>
  <c r="C17" i="9"/>
  <c r="C15" i="9"/>
  <c r="O8" i="12"/>
  <c r="M8" i="12"/>
  <c r="N8" i="12"/>
  <c r="L8" i="12"/>
  <c r="E29" i="12"/>
  <c r="F29" i="12"/>
  <c r="C29" i="12"/>
  <c r="D29" i="12"/>
  <c r="C9" i="9"/>
  <c r="G28" i="12"/>
  <c r="I28" i="12" s="1"/>
  <c r="G8" i="12"/>
  <c r="I8" i="12" s="1"/>
  <c r="C13" i="9"/>
  <c r="C10" i="9"/>
  <c r="C14" i="9"/>
  <c r="C8" i="9"/>
  <c r="C12" i="9"/>
  <c r="C11" i="9"/>
  <c r="C6" i="9"/>
  <c r="C7" i="9"/>
  <c r="B30" i="12"/>
  <c r="C5" i="9"/>
  <c r="D9" i="12"/>
  <c r="F9" i="12"/>
  <c r="C9" i="12"/>
  <c r="E9" i="12"/>
  <c r="D4" i="9"/>
  <c r="B10" i="12"/>
  <c r="K9" i="12"/>
  <c r="F17" i="10" l="1"/>
  <c r="E18" i="10"/>
  <c r="I16" i="10"/>
  <c r="J16" i="10" s="1"/>
  <c r="H16" i="10"/>
  <c r="G16" i="10"/>
  <c r="C21" i="9"/>
  <c r="D15" i="9"/>
  <c r="D19" i="9"/>
  <c r="D18" i="9"/>
  <c r="D16" i="9"/>
  <c r="D20" i="9"/>
  <c r="D17" i="9"/>
  <c r="P8" i="12"/>
  <c r="M9" i="12"/>
  <c r="N9" i="12"/>
  <c r="L9" i="12"/>
  <c r="O9" i="12"/>
  <c r="E30" i="12"/>
  <c r="F30" i="12"/>
  <c r="C30" i="12"/>
  <c r="D30" i="12"/>
  <c r="D9" i="9"/>
  <c r="G29" i="12"/>
  <c r="I29" i="12" s="1"/>
  <c r="G9" i="12"/>
  <c r="I9" i="12" s="1"/>
  <c r="D12" i="9"/>
  <c r="D10" i="9"/>
  <c r="D7" i="9"/>
  <c r="D11" i="9"/>
  <c r="D8" i="9"/>
  <c r="D13" i="9"/>
  <c r="D14" i="9"/>
  <c r="D6" i="9"/>
  <c r="B31" i="12"/>
  <c r="D31" i="12" s="1"/>
  <c r="D5" i="9"/>
  <c r="B11" i="12"/>
  <c r="K11" i="12" s="1"/>
  <c r="E10" i="12"/>
  <c r="F10" i="12"/>
  <c r="D10" i="12"/>
  <c r="C10" i="12"/>
  <c r="E4" i="9"/>
  <c r="K10" i="12"/>
  <c r="F18" i="10" l="1"/>
  <c r="E19" i="10"/>
  <c r="G17" i="10"/>
  <c r="H17" i="10"/>
  <c r="I17" i="10"/>
  <c r="J17" i="10" s="1"/>
  <c r="D21" i="9"/>
  <c r="E15" i="9"/>
  <c r="E19" i="9"/>
  <c r="E18" i="9"/>
  <c r="E20" i="9"/>
  <c r="E17" i="9"/>
  <c r="E16" i="9"/>
  <c r="P9" i="12"/>
  <c r="O10" i="12"/>
  <c r="M10" i="12"/>
  <c r="N10" i="12"/>
  <c r="L10" i="12"/>
  <c r="L11" i="12"/>
  <c r="N11" i="12"/>
  <c r="M11" i="12"/>
  <c r="O11" i="12"/>
  <c r="E31" i="12"/>
  <c r="F31" i="12"/>
  <c r="C31" i="12"/>
  <c r="E9" i="9"/>
  <c r="G30" i="12"/>
  <c r="I30" i="12" s="1"/>
  <c r="G10" i="12"/>
  <c r="E6" i="9"/>
  <c r="E14" i="9"/>
  <c r="E13" i="9"/>
  <c r="E10" i="9"/>
  <c r="E7" i="9"/>
  <c r="E8" i="9"/>
  <c r="E12" i="9"/>
  <c r="E11" i="9"/>
  <c r="B32" i="12"/>
  <c r="D32" i="12" s="1"/>
  <c r="E5" i="9"/>
  <c r="E11" i="12"/>
  <c r="C11" i="12"/>
  <c r="F11" i="12"/>
  <c r="D11" i="12"/>
  <c r="B12" i="12"/>
  <c r="K12" i="12" s="1"/>
  <c r="F4" i="9"/>
  <c r="F19" i="10" l="1"/>
  <c r="E20" i="10"/>
  <c r="G18" i="10"/>
  <c r="I18" i="10"/>
  <c r="J18" i="10" s="1"/>
  <c r="H18" i="10"/>
  <c r="E21" i="9"/>
  <c r="F15" i="9"/>
  <c r="F18" i="9"/>
  <c r="F16" i="9"/>
  <c r="F19" i="9"/>
  <c r="F17" i="9"/>
  <c r="F20" i="9"/>
  <c r="P10" i="12"/>
  <c r="P11" i="12" s="1"/>
  <c r="O12" i="12"/>
  <c r="N12" i="12"/>
  <c r="L12" i="12"/>
  <c r="M12" i="12"/>
  <c r="E32" i="12"/>
  <c r="F32" i="12"/>
  <c r="C32" i="12"/>
  <c r="F9" i="9"/>
  <c r="G31" i="12"/>
  <c r="I31" i="12" s="1"/>
  <c r="G11" i="12"/>
  <c r="F14" i="9"/>
  <c r="F11" i="9"/>
  <c r="F13" i="9"/>
  <c r="F12" i="9"/>
  <c r="F8" i="9"/>
  <c r="F10" i="9"/>
  <c r="F6" i="9"/>
  <c r="F7" i="9"/>
  <c r="B33" i="12"/>
  <c r="F5" i="9"/>
  <c r="B13" i="12"/>
  <c r="C12" i="12"/>
  <c r="E12" i="12"/>
  <c r="F12" i="12"/>
  <c r="D12" i="12"/>
  <c r="G4" i="9"/>
  <c r="F20" i="10" l="1"/>
  <c r="E21" i="10"/>
  <c r="G19" i="10"/>
  <c r="H19" i="10"/>
  <c r="I19" i="10"/>
  <c r="J19" i="10" s="1"/>
  <c r="F21" i="9"/>
  <c r="G15" i="9"/>
  <c r="G18" i="9"/>
  <c r="G19" i="9"/>
  <c r="G16" i="9"/>
  <c r="G20" i="9"/>
  <c r="G17" i="9"/>
  <c r="P12" i="12"/>
  <c r="D33" i="12"/>
  <c r="E33" i="12"/>
  <c r="F33" i="12"/>
  <c r="C33" i="12"/>
  <c r="G9" i="9"/>
  <c r="G32" i="12"/>
  <c r="I32" i="12" s="1"/>
  <c r="G12" i="12"/>
  <c r="G14" i="9"/>
  <c r="G8" i="9"/>
  <c r="G10" i="9"/>
  <c r="G12" i="9"/>
  <c r="G11" i="9"/>
  <c r="G13" i="9"/>
  <c r="G6" i="9"/>
  <c r="G7" i="9"/>
  <c r="B34" i="12"/>
  <c r="G5" i="9"/>
  <c r="B14" i="12"/>
  <c r="K13" i="12"/>
  <c r="E13" i="12"/>
  <c r="C13" i="12"/>
  <c r="F13" i="12"/>
  <c r="D13" i="12"/>
  <c r="H4" i="9"/>
  <c r="E22" i="10" l="1"/>
  <c r="F21" i="10"/>
  <c r="I20" i="10"/>
  <c r="J20" i="10" s="1"/>
  <c r="H20" i="10"/>
  <c r="G20" i="10"/>
  <c r="G21" i="9"/>
  <c r="H15" i="9"/>
  <c r="H19" i="9"/>
  <c r="H17" i="9"/>
  <c r="H16" i="9"/>
  <c r="H18" i="9"/>
  <c r="H20" i="9"/>
  <c r="O13" i="12"/>
  <c r="M13" i="12"/>
  <c r="L13" i="12"/>
  <c r="N13" i="12"/>
  <c r="D34" i="12"/>
  <c r="E34" i="12"/>
  <c r="F34" i="12"/>
  <c r="C34" i="12"/>
  <c r="H9" i="9"/>
  <c r="G33" i="12"/>
  <c r="I33" i="12" s="1"/>
  <c r="G13" i="12"/>
  <c r="H8" i="9"/>
  <c r="H6" i="9"/>
  <c r="H7" i="9"/>
  <c r="H11" i="9"/>
  <c r="H10" i="9"/>
  <c r="H12" i="9"/>
  <c r="H14" i="9"/>
  <c r="H13" i="9"/>
  <c r="B35" i="12"/>
  <c r="H5" i="9"/>
  <c r="B15" i="12"/>
  <c r="F15" i="12" s="1"/>
  <c r="C14" i="12"/>
  <c r="K14" i="12"/>
  <c r="F14" i="12"/>
  <c r="E14" i="12"/>
  <c r="D14" i="12"/>
  <c r="I4" i="9"/>
  <c r="I21" i="10" l="1"/>
  <c r="J21" i="10" s="1"/>
  <c r="G21" i="10"/>
  <c r="H21" i="10"/>
  <c r="F22" i="10"/>
  <c r="E23" i="10"/>
  <c r="F23" i="10" s="1"/>
  <c r="H21" i="9"/>
  <c r="I15" i="9"/>
  <c r="I17" i="9"/>
  <c r="I20" i="9"/>
  <c r="I18" i="9"/>
  <c r="I16" i="9"/>
  <c r="I19" i="9"/>
  <c r="P13" i="12"/>
  <c r="N14" i="12"/>
  <c r="M14" i="12"/>
  <c r="L14" i="12"/>
  <c r="O14" i="12"/>
  <c r="C35" i="12"/>
  <c r="D35" i="12"/>
  <c r="E35" i="12"/>
  <c r="F35" i="12"/>
  <c r="I9" i="9"/>
  <c r="G34" i="12"/>
  <c r="I34" i="12" s="1"/>
  <c r="G14" i="12"/>
  <c r="I13" i="9"/>
  <c r="I11" i="9"/>
  <c r="I7" i="9"/>
  <c r="I14" i="9"/>
  <c r="I8" i="9"/>
  <c r="I6" i="9"/>
  <c r="I12" i="9"/>
  <c r="I10" i="9"/>
  <c r="B36" i="12"/>
  <c r="D15" i="12"/>
  <c r="C15" i="12"/>
  <c r="B16" i="12"/>
  <c r="K15" i="12"/>
  <c r="I5" i="9"/>
  <c r="E15" i="12"/>
  <c r="J4" i="9"/>
  <c r="H22" i="10" l="1"/>
  <c r="I22" i="10"/>
  <c r="J22" i="10" s="1"/>
  <c r="G22" i="10"/>
  <c r="I23" i="10"/>
  <c r="J23" i="10" s="1"/>
  <c r="G23" i="10"/>
  <c r="H23" i="10"/>
  <c r="I21" i="9"/>
  <c r="J20" i="9"/>
  <c r="J18" i="9"/>
  <c r="J15" i="9"/>
  <c r="J16" i="9"/>
  <c r="J17" i="9"/>
  <c r="J19" i="9"/>
  <c r="P14" i="12"/>
  <c r="N15" i="12"/>
  <c r="M15" i="12"/>
  <c r="O15" i="12"/>
  <c r="L15" i="12"/>
  <c r="D36" i="12"/>
  <c r="E36" i="12"/>
  <c r="F36" i="12"/>
  <c r="C36" i="12"/>
  <c r="J9" i="9"/>
  <c r="G35" i="12"/>
  <c r="I35" i="12" s="1"/>
  <c r="G15" i="12"/>
  <c r="K16" i="12"/>
  <c r="J11" i="9"/>
  <c r="J6" i="9"/>
  <c r="J8" i="9"/>
  <c r="J14" i="9"/>
  <c r="J12" i="9"/>
  <c r="J13" i="9"/>
  <c r="J10" i="9"/>
  <c r="J7" i="9"/>
  <c r="B37" i="12"/>
  <c r="E16" i="12"/>
  <c r="F16" i="12"/>
  <c r="C16" i="12"/>
  <c r="J5" i="9"/>
  <c r="D16" i="12"/>
  <c r="B17" i="12"/>
  <c r="B18" i="12" s="1"/>
  <c r="K4" i="9"/>
  <c r="J21" i="9" l="1"/>
  <c r="K18" i="9"/>
  <c r="K19" i="9"/>
  <c r="K20" i="9"/>
  <c r="K15" i="9"/>
  <c r="K16" i="9"/>
  <c r="K17" i="9"/>
  <c r="P15" i="12"/>
  <c r="M16" i="12"/>
  <c r="N16" i="12"/>
  <c r="O16" i="12"/>
  <c r="L16" i="12"/>
  <c r="C37" i="12"/>
  <c r="D37" i="12"/>
  <c r="E37" i="12"/>
  <c r="F37" i="12"/>
  <c r="K9" i="9"/>
  <c r="G36" i="12"/>
  <c r="I36" i="12" s="1"/>
  <c r="G16" i="12"/>
  <c r="K17" i="12"/>
  <c r="C17" i="12"/>
  <c r="F17" i="12"/>
  <c r="D17" i="12"/>
  <c r="K12" i="9"/>
  <c r="K10" i="9"/>
  <c r="K7" i="9"/>
  <c r="K13" i="9"/>
  <c r="K14" i="9"/>
  <c r="K11" i="9"/>
  <c r="K6" i="9"/>
  <c r="K8" i="9"/>
  <c r="B38" i="12"/>
  <c r="K5" i="9"/>
  <c r="E17" i="12"/>
  <c r="E18" i="12"/>
  <c r="D18" i="12"/>
  <c r="F18" i="12"/>
  <c r="C18" i="12"/>
  <c r="L4" i="9"/>
  <c r="K18" i="12"/>
  <c r="B19" i="12"/>
  <c r="K21" i="9" l="1"/>
  <c r="L15" i="9"/>
  <c r="L18" i="9"/>
  <c r="L17" i="9"/>
  <c r="L20" i="9"/>
  <c r="L19" i="9"/>
  <c r="L16" i="9"/>
  <c r="P16" i="12"/>
  <c r="O17" i="12"/>
  <c r="M17" i="12"/>
  <c r="L17" i="12"/>
  <c r="N17" i="12"/>
  <c r="M18" i="12"/>
  <c r="N18" i="12"/>
  <c r="L18" i="12"/>
  <c r="O18" i="12"/>
  <c r="C38" i="12"/>
  <c r="C39" i="12" s="1"/>
  <c r="D38" i="12"/>
  <c r="D39" i="12" s="1"/>
  <c r="E38" i="12"/>
  <c r="E39" i="12" s="1"/>
  <c r="F38" i="12"/>
  <c r="F39" i="12" s="1"/>
  <c r="L9" i="9"/>
  <c r="G37" i="12"/>
  <c r="I37" i="12" s="1"/>
  <c r="G17" i="12"/>
  <c r="G18" i="12" s="1"/>
  <c r="L14" i="9"/>
  <c r="L8" i="9"/>
  <c r="L13" i="9"/>
  <c r="L7" i="9"/>
  <c r="L12" i="9"/>
  <c r="L6" i="9"/>
  <c r="L10" i="9"/>
  <c r="L11" i="9"/>
  <c r="M4" i="9"/>
  <c r="L5" i="9"/>
  <c r="C19" i="12"/>
  <c r="E19" i="12"/>
  <c r="E20" i="12" s="1"/>
  <c r="F19" i="12"/>
  <c r="F20" i="12" s="1"/>
  <c r="D19" i="12"/>
  <c r="K19" i="12"/>
  <c r="L21" i="9" l="1"/>
  <c r="M15" i="9"/>
  <c r="M18" i="9"/>
  <c r="M19" i="9"/>
  <c r="M17" i="9"/>
  <c r="M16" i="9"/>
  <c r="M20" i="9"/>
  <c r="P17" i="12"/>
  <c r="P18" i="12" s="1"/>
  <c r="M19" i="12"/>
  <c r="M20" i="12" s="1"/>
  <c r="L19" i="12"/>
  <c r="O19" i="12"/>
  <c r="O20" i="12" s="1"/>
  <c r="N19" i="12"/>
  <c r="N20" i="12" s="1"/>
  <c r="M9" i="9"/>
  <c r="G38" i="12"/>
  <c r="D7" i="21" s="1"/>
  <c r="G19" i="12"/>
  <c r="M6" i="9"/>
  <c r="M14" i="9"/>
  <c r="M11" i="9"/>
  <c r="M12" i="9"/>
  <c r="M8" i="9"/>
  <c r="M10" i="9"/>
  <c r="M7" i="9"/>
  <c r="M13" i="9"/>
  <c r="M5" i="9"/>
  <c r="N4" i="9"/>
  <c r="D5" i="21" l="1"/>
  <c r="M21" i="9"/>
  <c r="N15" i="9"/>
  <c r="O15" i="9" s="1"/>
  <c r="Q15" i="9" s="1"/>
  <c r="N19" i="9"/>
  <c r="O19" i="9" s="1"/>
  <c r="Q19" i="9" s="1"/>
  <c r="N17" i="9"/>
  <c r="O17" i="9" s="1"/>
  <c r="Q17" i="9" s="1"/>
  <c r="N20" i="9"/>
  <c r="O20" i="9" s="1"/>
  <c r="Q20" i="9" s="1"/>
  <c r="N16" i="9"/>
  <c r="O16" i="9" s="1"/>
  <c r="Q16" i="9" s="1"/>
  <c r="N18" i="9"/>
  <c r="O18" i="9" s="1"/>
  <c r="Q18" i="9" s="1"/>
  <c r="P19" i="12"/>
  <c r="N9" i="9"/>
  <c r="O9" i="9" s="1"/>
  <c r="N12" i="9"/>
  <c r="O12" i="9" s="1"/>
  <c r="N8" i="9"/>
  <c r="O8" i="9" s="1"/>
  <c r="N11" i="9"/>
  <c r="O11" i="9" s="1"/>
  <c r="N6" i="9"/>
  <c r="N7" i="9"/>
  <c r="N10" i="9"/>
  <c r="O10" i="9" s="1"/>
  <c r="N14" i="9"/>
  <c r="O14" i="9" s="1"/>
  <c r="N13" i="9"/>
  <c r="O13" i="9" s="1"/>
  <c r="I38" i="12"/>
  <c r="N5" i="9"/>
  <c r="N21" i="9" l="1"/>
  <c r="S15" i="9"/>
  <c r="T15" i="9"/>
  <c r="T18" i="9"/>
  <c r="S18" i="9"/>
  <c r="S16" i="9"/>
  <c r="T16" i="9"/>
  <c r="T20" i="9"/>
  <c r="S20" i="9"/>
  <c r="S19" i="9"/>
  <c r="T19" i="9"/>
  <c r="T17" i="9"/>
  <c r="S17" i="9"/>
  <c r="D6" i="21"/>
  <c r="D8" i="21" s="1"/>
  <c r="Q9" i="9"/>
  <c r="O6" i="9"/>
  <c r="Q14" i="9"/>
  <c r="Q11" i="9"/>
  <c r="Q8" i="9"/>
  <c r="Q13" i="9"/>
  <c r="Q12" i="9"/>
  <c r="Q10" i="9"/>
  <c r="O7" i="9"/>
  <c r="W5" i="2" s="1"/>
  <c r="H8" i="11" s="1"/>
  <c r="W6" i="2" l="1"/>
  <c r="O21" i="9"/>
  <c r="W10" i="2"/>
  <c r="W9" i="2"/>
  <c r="W12" i="2"/>
  <c r="W11" i="2"/>
  <c r="W8" i="2"/>
  <c r="W7" i="2"/>
  <c r="Q6" i="9"/>
  <c r="W17" i="2"/>
  <c r="Y17" i="2" s="1"/>
  <c r="Z17" i="2" s="1"/>
  <c r="W16" i="2"/>
  <c r="Y16" i="2" s="1"/>
  <c r="Z16" i="2" s="1"/>
  <c r="W15" i="2"/>
  <c r="Y15" i="2" s="1"/>
  <c r="Z15" i="2" s="1"/>
  <c r="W14" i="2"/>
  <c r="Y14" i="2" s="1"/>
  <c r="Z14" i="2" s="1"/>
  <c r="W13" i="2"/>
  <c r="Y13" i="2" s="1"/>
  <c r="Z13" i="2" s="1"/>
  <c r="W18" i="2"/>
  <c r="Y18" i="2" s="1"/>
  <c r="Z18" i="2" s="1"/>
  <c r="S9" i="9"/>
  <c r="T9" i="9"/>
  <c r="S13" i="9"/>
  <c r="T13" i="9"/>
  <c r="S8" i="9"/>
  <c r="T8" i="9"/>
  <c r="S11" i="9"/>
  <c r="T11" i="9"/>
  <c r="S10" i="9"/>
  <c r="T10" i="9"/>
  <c r="S12" i="9"/>
  <c r="T12" i="9"/>
  <c r="S14" i="9"/>
  <c r="T14" i="9"/>
  <c r="E15" i="13"/>
  <c r="Y5" i="2"/>
  <c r="W4" i="2"/>
  <c r="H7" i="11" s="1"/>
  <c r="Q7" i="9"/>
  <c r="Y7" i="2" l="1"/>
  <c r="H10" i="11"/>
  <c r="Y8" i="2"/>
  <c r="H11" i="11"/>
  <c r="Y10" i="2"/>
  <c r="H13" i="11"/>
  <c r="Z5" i="2"/>
  <c r="K8" i="11" s="1"/>
  <c r="J8" i="11"/>
  <c r="Y11" i="2"/>
  <c r="H14" i="11"/>
  <c r="Y9" i="2"/>
  <c r="H12" i="11"/>
  <c r="H17" i="11"/>
  <c r="H18" i="11"/>
  <c r="H21" i="11"/>
  <c r="H19" i="11"/>
  <c r="H16" i="11"/>
  <c r="H20" i="11"/>
  <c r="H15" i="11"/>
  <c r="Y6" i="2"/>
  <c r="H9" i="11"/>
  <c r="Y12" i="2"/>
  <c r="T6" i="9"/>
  <c r="Q21" i="9"/>
  <c r="Q25" i="9" s="1"/>
  <c r="S6" i="9"/>
  <c r="S7" i="9"/>
  <c r="T7" i="9"/>
  <c r="Y4" i="2"/>
  <c r="Z6" i="2" l="1"/>
  <c r="K9" i="11" s="1"/>
  <c r="J9" i="11"/>
  <c r="Z9" i="2"/>
  <c r="K12" i="11" s="1"/>
  <c r="J12" i="11"/>
  <c r="Z8" i="2"/>
  <c r="K11" i="11" s="1"/>
  <c r="J11" i="11"/>
  <c r="Z4" i="2"/>
  <c r="K7" i="11" s="1"/>
  <c r="J7" i="11"/>
  <c r="Z12" i="2"/>
  <c r="J17" i="11"/>
  <c r="J20" i="11"/>
  <c r="J18" i="11"/>
  <c r="J21" i="11"/>
  <c r="J19" i="11"/>
  <c r="J16" i="11"/>
  <c r="J15" i="11"/>
  <c r="Z11" i="2"/>
  <c r="K14" i="11" s="1"/>
  <c r="J14" i="11"/>
  <c r="Z10" i="2"/>
  <c r="K13" i="11" s="1"/>
  <c r="J13" i="11"/>
  <c r="Z7" i="2"/>
  <c r="K10" i="11" s="1"/>
  <c r="J10" i="11"/>
  <c r="T21" i="9"/>
  <c r="S21" i="9"/>
  <c r="H22" i="11"/>
  <c r="J22" i="11" l="1"/>
  <c r="K18" i="11"/>
  <c r="K16" i="11"/>
  <c r="K19" i="11"/>
  <c r="K17" i="11"/>
  <c r="K20" i="11"/>
  <c r="K21" i="11"/>
  <c r="K15" i="11"/>
  <c r="C4" i="8"/>
  <c r="C62" i="8" l="1"/>
  <c r="C58" i="8"/>
  <c r="C59" i="8"/>
  <c r="C63" i="8"/>
  <c r="C60" i="8"/>
  <c r="C61" i="8"/>
  <c r="C57" i="8"/>
  <c r="C52" i="8"/>
  <c r="C56" i="8"/>
  <c r="K22" i="11"/>
  <c r="C51" i="8"/>
  <c r="C74" i="8"/>
  <c r="C69" i="8"/>
  <c r="C47" i="8"/>
  <c r="C41" i="8"/>
  <c r="C31" i="8"/>
  <c r="C30" i="8"/>
  <c r="C20" i="8"/>
  <c r="C13" i="8"/>
  <c r="C80" i="8"/>
  <c r="C75" i="8"/>
  <c r="C46" i="8"/>
  <c r="C21" i="8"/>
  <c r="C68" i="8"/>
  <c r="C40" i="8"/>
  <c r="C81" i="8"/>
  <c r="C39" i="8"/>
  <c r="C66" i="8"/>
  <c r="C38" i="8"/>
  <c r="C78" i="8"/>
  <c r="C79" i="8"/>
  <c r="C37" i="8"/>
  <c r="C44" i="8"/>
  <c r="C67" i="8"/>
  <c r="C73" i="8"/>
  <c r="C45" i="8"/>
  <c r="C72" i="8"/>
  <c r="C36" i="8"/>
  <c r="C10" i="8"/>
  <c r="C26" i="8"/>
  <c r="C25" i="8"/>
  <c r="C34" i="8"/>
  <c r="C35" i="8"/>
  <c r="C27" i="8"/>
  <c r="C7" i="8"/>
  <c r="C29" i="8"/>
  <c r="C15" i="8"/>
  <c r="C17" i="8"/>
  <c r="C6" i="8"/>
  <c r="C16" i="8"/>
  <c r="C28" i="8"/>
  <c r="C12" i="8"/>
  <c r="C14" i="8"/>
  <c r="C8" i="8"/>
  <c r="C11" i="8"/>
  <c r="C18" i="8"/>
  <c r="C19" i="8"/>
  <c r="C9" i="8"/>
  <c r="C24" i="8"/>
  <c r="D4" i="8"/>
  <c r="C5" i="8"/>
  <c r="C53" i="8" l="1"/>
  <c r="D62" i="8"/>
  <c r="D63" i="8"/>
  <c r="D61" i="8"/>
  <c r="D60" i="8"/>
  <c r="D58" i="8"/>
  <c r="D57" i="8"/>
  <c r="D59" i="8"/>
  <c r="C64" i="8"/>
  <c r="D52" i="8"/>
  <c r="D56" i="8"/>
  <c r="D51" i="8"/>
  <c r="C76" i="8"/>
  <c r="C82" i="8"/>
  <c r="C70" i="8"/>
  <c r="C48" i="8"/>
  <c r="D30" i="8"/>
  <c r="D21" i="8"/>
  <c r="D81" i="8"/>
  <c r="D74" i="8"/>
  <c r="D69" i="8"/>
  <c r="D20" i="8"/>
  <c r="D41" i="8"/>
  <c r="D75" i="8"/>
  <c r="D40" i="8"/>
  <c r="D15" i="8"/>
  <c r="D47" i="8"/>
  <c r="D80" i="8"/>
  <c r="D46" i="8"/>
  <c r="D68" i="8"/>
  <c r="D31" i="8"/>
  <c r="C22" i="8"/>
  <c r="C32" i="8"/>
  <c r="C42" i="8"/>
  <c r="D37" i="8"/>
  <c r="D73" i="8"/>
  <c r="D66" i="8"/>
  <c r="D78" i="8"/>
  <c r="D79" i="8"/>
  <c r="D39" i="8"/>
  <c r="D38" i="8"/>
  <c r="D67" i="8"/>
  <c r="D45" i="8"/>
  <c r="D72" i="8"/>
  <c r="D44" i="8"/>
  <c r="D36" i="8"/>
  <c r="D10" i="8"/>
  <c r="D26" i="8"/>
  <c r="D25" i="8"/>
  <c r="D34" i="8"/>
  <c r="D35" i="8"/>
  <c r="D7" i="8"/>
  <c r="D6" i="8"/>
  <c r="D18" i="8"/>
  <c r="D9" i="8"/>
  <c r="D27" i="8"/>
  <c r="D13" i="8"/>
  <c r="D16" i="8"/>
  <c r="D29" i="8"/>
  <c r="D8" i="8"/>
  <c r="D19" i="8"/>
  <c r="D14" i="8"/>
  <c r="D28" i="8"/>
  <c r="D24" i="8"/>
  <c r="D17" i="8"/>
  <c r="D11" i="8"/>
  <c r="D12" i="8"/>
  <c r="D5" i="8"/>
  <c r="E4" i="8"/>
  <c r="D53" i="8" l="1"/>
  <c r="D64" i="8"/>
  <c r="E63" i="8"/>
  <c r="E62" i="8"/>
  <c r="E60" i="8"/>
  <c r="E59" i="8"/>
  <c r="E61" i="8"/>
  <c r="E58" i="8"/>
  <c r="E57" i="8"/>
  <c r="E52" i="8"/>
  <c r="E56" i="8"/>
  <c r="D70" i="8"/>
  <c r="D76" i="8"/>
  <c r="D48" i="8"/>
  <c r="E51" i="8"/>
  <c r="D82" i="8"/>
  <c r="E47" i="8"/>
  <c r="E41" i="8"/>
  <c r="E31" i="8"/>
  <c r="E74" i="8"/>
  <c r="E75" i="8"/>
  <c r="E69" i="8"/>
  <c r="E30" i="8"/>
  <c r="E81" i="8"/>
  <c r="E46" i="8"/>
  <c r="E40" i="8"/>
  <c r="E20" i="8"/>
  <c r="E80" i="8"/>
  <c r="E68" i="8"/>
  <c r="E21" i="8"/>
  <c r="D42" i="8"/>
  <c r="D32" i="8"/>
  <c r="D22" i="8"/>
  <c r="C84" i="8"/>
  <c r="E37" i="8"/>
  <c r="E73" i="8"/>
  <c r="E44" i="8"/>
  <c r="E39" i="8"/>
  <c r="E72" i="8"/>
  <c r="E79" i="8"/>
  <c r="E67" i="8"/>
  <c r="E66" i="8"/>
  <c r="E78" i="8"/>
  <c r="E38" i="8"/>
  <c r="E45" i="8"/>
  <c r="E36" i="8"/>
  <c r="E10" i="8"/>
  <c r="E26" i="8"/>
  <c r="E25" i="8"/>
  <c r="E34" i="8"/>
  <c r="E35" i="8"/>
  <c r="E17" i="8"/>
  <c r="E12" i="8"/>
  <c r="E15" i="8"/>
  <c r="E29" i="8"/>
  <c r="E18" i="8"/>
  <c r="E9" i="8"/>
  <c r="E27" i="8"/>
  <c r="E7" i="8"/>
  <c r="E13" i="8"/>
  <c r="E6" i="8"/>
  <c r="E8" i="8"/>
  <c r="E14" i="8"/>
  <c r="E11" i="8"/>
  <c r="E24" i="8"/>
  <c r="E16" i="8"/>
  <c r="E28" i="8"/>
  <c r="E19" i="8"/>
  <c r="F4" i="8"/>
  <c r="E5" i="8"/>
  <c r="E64" i="8" l="1"/>
  <c r="E48" i="8"/>
  <c r="F63" i="8"/>
  <c r="F62" i="8"/>
  <c r="F59" i="8"/>
  <c r="F58" i="8"/>
  <c r="F60" i="8"/>
  <c r="F57" i="8"/>
  <c r="F61" i="8"/>
  <c r="E53" i="8"/>
  <c r="E82" i="8"/>
  <c r="F52" i="8"/>
  <c r="F56" i="8"/>
  <c r="F51" i="8"/>
  <c r="E76" i="8"/>
  <c r="E70" i="8"/>
  <c r="F75" i="8"/>
  <c r="F46" i="8"/>
  <c r="F20" i="8"/>
  <c r="F80" i="8"/>
  <c r="F81" i="8"/>
  <c r="F74" i="8"/>
  <c r="F30" i="8"/>
  <c r="F47" i="8"/>
  <c r="F31" i="8"/>
  <c r="F41" i="8"/>
  <c r="F69" i="8"/>
  <c r="F68" i="8"/>
  <c r="F21" i="8"/>
  <c r="F40" i="8"/>
  <c r="E42" i="8"/>
  <c r="E22" i="8"/>
  <c r="E32" i="8"/>
  <c r="D84" i="8"/>
  <c r="F37" i="8"/>
  <c r="F73" i="8"/>
  <c r="F79" i="8"/>
  <c r="F44" i="8"/>
  <c r="F67" i="8"/>
  <c r="F39" i="8"/>
  <c r="F66" i="8"/>
  <c r="F45" i="8"/>
  <c r="F72" i="8"/>
  <c r="F38" i="8"/>
  <c r="F78" i="8"/>
  <c r="F36" i="8"/>
  <c r="F10" i="8"/>
  <c r="F26" i="8"/>
  <c r="F25" i="8"/>
  <c r="F34" i="8"/>
  <c r="F35" i="8"/>
  <c r="F6" i="8"/>
  <c r="F28" i="8"/>
  <c r="F7" i="8"/>
  <c r="F15" i="8"/>
  <c r="F12" i="8"/>
  <c r="F18" i="8"/>
  <c r="F29" i="8"/>
  <c r="F9" i="8"/>
  <c r="F17" i="8"/>
  <c r="F14" i="8"/>
  <c r="F16" i="8"/>
  <c r="F27" i="8"/>
  <c r="F8" i="8"/>
  <c r="F19" i="8"/>
  <c r="F24" i="8"/>
  <c r="F13" i="8"/>
  <c r="F11" i="8"/>
  <c r="F5" i="8"/>
  <c r="G4" i="8"/>
  <c r="F53" i="8" l="1"/>
  <c r="F64" i="8"/>
  <c r="G62" i="8"/>
  <c r="G57" i="8"/>
  <c r="G61" i="8"/>
  <c r="G60" i="8"/>
  <c r="G59" i="8"/>
  <c r="G58" i="8"/>
  <c r="G63" i="8"/>
  <c r="G52" i="8"/>
  <c r="G56" i="8"/>
  <c r="G51" i="8"/>
  <c r="F76" i="8"/>
  <c r="F70" i="8"/>
  <c r="F82" i="8"/>
  <c r="G80" i="8"/>
  <c r="G74" i="8"/>
  <c r="G40" i="8"/>
  <c r="G20" i="8"/>
  <c r="G81" i="8"/>
  <c r="G47" i="8"/>
  <c r="G31" i="8"/>
  <c r="G75" i="8"/>
  <c r="G21" i="8"/>
  <c r="G69" i="8"/>
  <c r="G46" i="8"/>
  <c r="G30" i="8"/>
  <c r="G68" i="8"/>
  <c r="G41" i="8"/>
  <c r="F48" i="8"/>
  <c r="F42" i="8"/>
  <c r="F22" i="8"/>
  <c r="F32" i="8"/>
  <c r="E84" i="8"/>
  <c r="G38" i="8"/>
  <c r="G78" i="8"/>
  <c r="G37" i="8"/>
  <c r="G44" i="8"/>
  <c r="G73" i="8"/>
  <c r="G72" i="8"/>
  <c r="G39" i="8"/>
  <c r="G66" i="8"/>
  <c r="G45" i="8"/>
  <c r="G67" i="8"/>
  <c r="G79" i="8"/>
  <c r="G36" i="8"/>
  <c r="G10" i="8"/>
  <c r="G26" i="8"/>
  <c r="G25" i="8"/>
  <c r="G34" i="8"/>
  <c r="G35" i="8"/>
  <c r="G11" i="8"/>
  <c r="G6" i="8"/>
  <c r="G17" i="8"/>
  <c r="G7" i="8"/>
  <c r="G29" i="8"/>
  <c r="G15" i="8"/>
  <c r="G12" i="8"/>
  <c r="G28" i="8"/>
  <c r="G13" i="8"/>
  <c r="G8" i="8"/>
  <c r="G9" i="8"/>
  <c r="G16" i="8"/>
  <c r="G18" i="8"/>
  <c r="G24" i="8"/>
  <c r="G27" i="8"/>
  <c r="G19" i="8"/>
  <c r="G14" i="8"/>
  <c r="H4" i="8"/>
  <c r="G5" i="8"/>
  <c r="G53" i="8" l="1"/>
  <c r="G64" i="8"/>
  <c r="H61" i="8"/>
  <c r="H62" i="8"/>
  <c r="H58" i="8"/>
  <c r="H57" i="8"/>
  <c r="H63" i="8"/>
  <c r="H60" i="8"/>
  <c r="H59" i="8"/>
  <c r="H52" i="8"/>
  <c r="H56" i="8"/>
  <c r="H51" i="8"/>
  <c r="G70" i="8"/>
  <c r="G48" i="8"/>
  <c r="G76" i="8"/>
  <c r="H30" i="8"/>
  <c r="H80" i="8"/>
  <c r="H74" i="8"/>
  <c r="H46" i="8"/>
  <c r="H20" i="8"/>
  <c r="H68" i="8"/>
  <c r="H75" i="8"/>
  <c r="H69" i="8"/>
  <c r="H21" i="8"/>
  <c r="H81" i="8"/>
  <c r="H47" i="8"/>
  <c r="H31" i="8"/>
  <c r="H41" i="8"/>
  <c r="H40" i="8"/>
  <c r="G82" i="8"/>
  <c r="G42" i="8"/>
  <c r="G22" i="8"/>
  <c r="G32" i="8"/>
  <c r="F84" i="8"/>
  <c r="H38" i="8"/>
  <c r="H78" i="8"/>
  <c r="H37" i="8"/>
  <c r="H73" i="8"/>
  <c r="H44" i="8"/>
  <c r="H39" i="8"/>
  <c r="H66" i="8"/>
  <c r="H67" i="8"/>
  <c r="H45" i="8"/>
  <c r="H79" i="8"/>
  <c r="H72" i="8"/>
  <c r="H36" i="8"/>
  <c r="H10" i="8"/>
  <c r="H25" i="8"/>
  <c r="H26" i="8"/>
  <c r="H34" i="8"/>
  <c r="H35" i="8"/>
  <c r="H16" i="8"/>
  <c r="H11" i="8"/>
  <c r="H9" i="8"/>
  <c r="H28" i="8"/>
  <c r="H12" i="8"/>
  <c r="H6" i="8"/>
  <c r="H17" i="8"/>
  <c r="H19" i="8"/>
  <c r="H18" i="8"/>
  <c r="H13" i="8"/>
  <c r="H29" i="8"/>
  <c r="H24" i="8"/>
  <c r="H15" i="8"/>
  <c r="H7" i="8"/>
  <c r="H8" i="8"/>
  <c r="H14" i="8"/>
  <c r="H27" i="8"/>
  <c r="I4" i="8"/>
  <c r="H5" i="8"/>
  <c r="H53" i="8" l="1"/>
  <c r="H64" i="8"/>
  <c r="I63" i="8"/>
  <c r="I58" i="8"/>
  <c r="I62" i="8"/>
  <c r="I61" i="8"/>
  <c r="I60" i="8"/>
  <c r="I59" i="8"/>
  <c r="I57" i="8"/>
  <c r="I52" i="8"/>
  <c r="I56" i="8"/>
  <c r="H76" i="8"/>
  <c r="H82" i="8"/>
  <c r="I51" i="8"/>
  <c r="H48" i="8"/>
  <c r="H70" i="8"/>
  <c r="I80" i="8"/>
  <c r="I74" i="8"/>
  <c r="I40" i="8"/>
  <c r="I20" i="8"/>
  <c r="I81" i="8"/>
  <c r="I41" i="8"/>
  <c r="I21" i="8"/>
  <c r="I69" i="8"/>
  <c r="I47" i="8"/>
  <c r="I31" i="8"/>
  <c r="I75" i="8"/>
  <c r="I68" i="8"/>
  <c r="I30" i="8"/>
  <c r="I46" i="8"/>
  <c r="H42" i="8"/>
  <c r="H22" i="8"/>
  <c r="H32" i="8"/>
  <c r="G84" i="8"/>
  <c r="I38" i="8"/>
  <c r="I37" i="8"/>
  <c r="I73" i="8"/>
  <c r="I78" i="8"/>
  <c r="I66" i="8"/>
  <c r="I45" i="8"/>
  <c r="I44" i="8"/>
  <c r="I72" i="8"/>
  <c r="I39" i="8"/>
  <c r="I67" i="8"/>
  <c r="I79" i="8"/>
  <c r="I36" i="8"/>
  <c r="I10" i="8"/>
  <c r="I25" i="8"/>
  <c r="I26" i="8"/>
  <c r="I34" i="8"/>
  <c r="I35" i="8"/>
  <c r="I27" i="8"/>
  <c r="I15" i="8"/>
  <c r="I28" i="8"/>
  <c r="I11" i="8"/>
  <c r="I17" i="8"/>
  <c r="I6" i="8"/>
  <c r="I16" i="8"/>
  <c r="I12" i="8"/>
  <c r="I14" i="8"/>
  <c r="I19" i="8"/>
  <c r="I24" i="8"/>
  <c r="I8" i="8"/>
  <c r="I18" i="8"/>
  <c r="I9" i="8"/>
  <c r="I13" i="8"/>
  <c r="I7" i="8"/>
  <c r="I29" i="8"/>
  <c r="I5" i="8"/>
  <c r="J4" i="8"/>
  <c r="I64" i="8" l="1"/>
  <c r="J62" i="8"/>
  <c r="J63" i="8"/>
  <c r="J59" i="8"/>
  <c r="J57" i="8"/>
  <c r="J58" i="8"/>
  <c r="J60" i="8"/>
  <c r="J61" i="8"/>
  <c r="I53" i="8"/>
  <c r="I70" i="8"/>
  <c r="J52" i="8"/>
  <c r="J56" i="8"/>
  <c r="I82" i="8"/>
  <c r="J51" i="8"/>
  <c r="I48" i="8"/>
  <c r="J46" i="8"/>
  <c r="J20" i="8"/>
  <c r="J41" i="8"/>
  <c r="J80" i="8"/>
  <c r="J74" i="8"/>
  <c r="J75" i="8"/>
  <c r="J30" i="8"/>
  <c r="J21" i="8"/>
  <c r="J68" i="8"/>
  <c r="J69" i="8"/>
  <c r="J81" i="8"/>
  <c r="J47" i="8"/>
  <c r="J31" i="8"/>
  <c r="J40" i="8"/>
  <c r="I76" i="8"/>
  <c r="I22" i="8"/>
  <c r="I42" i="8"/>
  <c r="I32" i="8"/>
  <c r="H84" i="8"/>
  <c r="J39" i="8"/>
  <c r="J79" i="8"/>
  <c r="J78" i="8"/>
  <c r="J37" i="8"/>
  <c r="J66" i="8"/>
  <c r="J38" i="8"/>
  <c r="J73" i="8"/>
  <c r="J45" i="8"/>
  <c r="J44" i="8"/>
  <c r="J72" i="8"/>
  <c r="J67" i="8"/>
  <c r="J36" i="8"/>
  <c r="J10" i="8"/>
  <c r="J25" i="8"/>
  <c r="J26" i="8"/>
  <c r="J34" i="8"/>
  <c r="J35" i="8"/>
  <c r="J5" i="8"/>
  <c r="J9" i="8"/>
  <c r="J11" i="8"/>
  <c r="J16" i="8"/>
  <c r="J6" i="8"/>
  <c r="J28" i="8"/>
  <c r="J27" i="8"/>
  <c r="J8" i="8"/>
  <c r="J24" i="8"/>
  <c r="J29" i="8"/>
  <c r="J15" i="8"/>
  <c r="J18" i="8"/>
  <c r="J17" i="8"/>
  <c r="J14" i="8"/>
  <c r="J19" i="8"/>
  <c r="J7" i="8"/>
  <c r="J13" i="8"/>
  <c r="J12" i="8"/>
  <c r="K4" i="8"/>
  <c r="J64" i="8" l="1"/>
  <c r="K62" i="8"/>
  <c r="K58" i="8"/>
  <c r="K59" i="8"/>
  <c r="K63" i="8"/>
  <c r="K60" i="8"/>
  <c r="K57" i="8"/>
  <c r="K61" i="8"/>
  <c r="J53" i="8"/>
  <c r="K52" i="8"/>
  <c r="K56" i="8"/>
  <c r="K51" i="8"/>
  <c r="J70" i="8"/>
  <c r="J76" i="8"/>
  <c r="K74" i="8"/>
  <c r="K75" i="8"/>
  <c r="K69" i="8"/>
  <c r="K47" i="8"/>
  <c r="K31" i="8"/>
  <c r="K41" i="8"/>
  <c r="K68" i="8"/>
  <c r="K40" i="8"/>
  <c r="K21" i="8"/>
  <c r="K30" i="8"/>
  <c r="K80" i="8"/>
  <c r="K46" i="8"/>
  <c r="K20" i="8"/>
  <c r="K81" i="8"/>
  <c r="J48" i="8"/>
  <c r="J82" i="8"/>
  <c r="J32" i="8"/>
  <c r="J22" i="8"/>
  <c r="J42" i="8"/>
  <c r="I84" i="8"/>
  <c r="K39" i="8"/>
  <c r="K38" i="8"/>
  <c r="K66" i="8"/>
  <c r="K78" i="8"/>
  <c r="K79" i="8"/>
  <c r="K67" i="8"/>
  <c r="K37" i="8"/>
  <c r="K72" i="8"/>
  <c r="K45" i="8"/>
  <c r="K73" i="8"/>
  <c r="K44" i="8"/>
  <c r="K36" i="8"/>
  <c r="K10" i="8"/>
  <c r="K26" i="8"/>
  <c r="K25" i="8"/>
  <c r="K34" i="8"/>
  <c r="K35" i="8"/>
  <c r="K15" i="8"/>
  <c r="K9" i="8"/>
  <c r="K11" i="8"/>
  <c r="K16" i="8"/>
  <c r="K27" i="8"/>
  <c r="K18" i="8"/>
  <c r="K17" i="8"/>
  <c r="K29" i="8"/>
  <c r="K24" i="8"/>
  <c r="K8" i="8"/>
  <c r="K12" i="8"/>
  <c r="K28" i="8"/>
  <c r="K13" i="8"/>
  <c r="K14" i="8"/>
  <c r="K19" i="8"/>
  <c r="K6" i="8"/>
  <c r="K7" i="8"/>
  <c r="L4" i="8"/>
  <c r="K5" i="8"/>
  <c r="K53" i="8" l="1"/>
  <c r="K64" i="8"/>
  <c r="L63" i="8"/>
  <c r="L62" i="8"/>
  <c r="L60" i="8"/>
  <c r="L58" i="8"/>
  <c r="L59" i="8"/>
  <c r="L57" i="8"/>
  <c r="L61" i="8"/>
  <c r="L52" i="8"/>
  <c r="L56" i="8"/>
  <c r="K76" i="8"/>
  <c r="L51" i="8"/>
  <c r="K70" i="8"/>
  <c r="K82" i="8"/>
  <c r="L40" i="8"/>
  <c r="L30" i="8"/>
  <c r="L21" i="8"/>
  <c r="L81" i="8"/>
  <c r="L74" i="8"/>
  <c r="L69" i="8"/>
  <c r="L20" i="8"/>
  <c r="L47" i="8"/>
  <c r="L31" i="8"/>
  <c r="L80" i="8"/>
  <c r="L46" i="8"/>
  <c r="L68" i="8"/>
  <c r="L41" i="8"/>
  <c r="L75" i="8"/>
  <c r="K48" i="8"/>
  <c r="K42" i="8"/>
  <c r="K32" i="8"/>
  <c r="K22" i="8"/>
  <c r="J84" i="8"/>
  <c r="L37" i="8"/>
  <c r="L73" i="8"/>
  <c r="L78" i="8"/>
  <c r="L67" i="8"/>
  <c r="L39" i="8"/>
  <c r="L38" i="8"/>
  <c r="L79" i="8"/>
  <c r="L44" i="8"/>
  <c r="L66" i="8"/>
  <c r="L45" i="8"/>
  <c r="L72" i="8"/>
  <c r="L36" i="8"/>
  <c r="L10" i="8"/>
  <c r="L26" i="8"/>
  <c r="L25" i="8"/>
  <c r="L34" i="8"/>
  <c r="L35" i="8"/>
  <c r="L7" i="8"/>
  <c r="L6" i="8"/>
  <c r="L9" i="8"/>
  <c r="L18" i="8"/>
  <c r="L27" i="8"/>
  <c r="L29" i="8"/>
  <c r="L16" i="8"/>
  <c r="L15" i="8"/>
  <c r="L24" i="8"/>
  <c r="L13" i="8"/>
  <c r="L19" i="8"/>
  <c r="L12" i="8"/>
  <c r="L17" i="8"/>
  <c r="L8" i="8"/>
  <c r="L14" i="8"/>
  <c r="L11" i="8"/>
  <c r="L28" i="8"/>
  <c r="M4" i="8"/>
  <c r="L5" i="8"/>
  <c r="L53" i="8" l="1"/>
  <c r="M63" i="8"/>
  <c r="M60" i="8"/>
  <c r="M59" i="8"/>
  <c r="M61" i="8"/>
  <c r="M62" i="8"/>
  <c r="M58" i="8"/>
  <c r="M57" i="8"/>
  <c r="L64" i="8"/>
  <c r="M52" i="8"/>
  <c r="M56" i="8"/>
  <c r="M51" i="8"/>
  <c r="L82" i="8"/>
  <c r="L76" i="8"/>
  <c r="L70" i="8"/>
  <c r="L48" i="8"/>
  <c r="M41" i="8"/>
  <c r="M75" i="8"/>
  <c r="M74" i="8"/>
  <c r="M69" i="8"/>
  <c r="M20" i="8"/>
  <c r="M47" i="8"/>
  <c r="M80" i="8"/>
  <c r="M46" i="8"/>
  <c r="M68" i="8"/>
  <c r="M21" i="8"/>
  <c r="M30" i="8"/>
  <c r="M40" i="8"/>
  <c r="M31" i="8"/>
  <c r="M81" i="8"/>
  <c r="L42" i="8"/>
  <c r="L32" i="8"/>
  <c r="L22" i="8"/>
  <c r="K84" i="8"/>
  <c r="M37" i="8"/>
  <c r="M73" i="8"/>
  <c r="M44" i="8"/>
  <c r="M39" i="8"/>
  <c r="M72" i="8"/>
  <c r="M79" i="8"/>
  <c r="M67" i="8"/>
  <c r="M78" i="8"/>
  <c r="M38" i="8"/>
  <c r="M66" i="8"/>
  <c r="M45" i="8"/>
  <c r="M36" i="8"/>
  <c r="M10" i="8"/>
  <c r="M25" i="8"/>
  <c r="M26" i="8"/>
  <c r="M34" i="8"/>
  <c r="M35" i="8"/>
  <c r="M5" i="8"/>
  <c r="M17" i="8"/>
  <c r="M12" i="8"/>
  <c r="M7" i="8"/>
  <c r="M29" i="8"/>
  <c r="M15" i="8"/>
  <c r="M9" i="8"/>
  <c r="M18" i="8"/>
  <c r="M27" i="8"/>
  <c r="M24" i="8"/>
  <c r="M16" i="8"/>
  <c r="M28" i="8"/>
  <c r="M19" i="8"/>
  <c r="M14" i="8"/>
  <c r="M13" i="8"/>
  <c r="M6" i="8"/>
  <c r="M8" i="8"/>
  <c r="M11" i="8"/>
  <c r="N4" i="8"/>
  <c r="M53" i="8" l="1"/>
  <c r="N63" i="8"/>
  <c r="O63" i="8" s="1"/>
  <c r="Q63" i="8" s="1"/>
  <c r="U63" i="8" s="1"/>
  <c r="N62" i="8"/>
  <c r="O62" i="8" s="1"/>
  <c r="N58" i="8"/>
  <c r="O58" i="8" s="1"/>
  <c r="N57" i="8"/>
  <c r="O57" i="8" s="1"/>
  <c r="N60" i="8"/>
  <c r="O60" i="8" s="1"/>
  <c r="N61" i="8"/>
  <c r="O61" i="8" s="1"/>
  <c r="N59" i="8"/>
  <c r="O59" i="8" s="1"/>
  <c r="M64" i="8"/>
  <c r="N52" i="8"/>
  <c r="O52" i="8" s="1"/>
  <c r="Q52" i="8" s="1"/>
  <c r="U52" i="8" s="1"/>
  <c r="N56" i="8"/>
  <c r="M70" i="8"/>
  <c r="M48" i="8"/>
  <c r="N51" i="8"/>
  <c r="M82" i="8"/>
  <c r="M76" i="8"/>
  <c r="N80" i="8"/>
  <c r="O80" i="8" s="1"/>
  <c r="Q80" i="8" s="1"/>
  <c r="U80" i="8" s="1"/>
  <c r="N81" i="8"/>
  <c r="O81" i="8" s="1"/>
  <c r="Q81" i="8" s="1"/>
  <c r="U81" i="8" s="1"/>
  <c r="N74" i="8"/>
  <c r="O74" i="8" s="1"/>
  <c r="N46" i="8"/>
  <c r="O46" i="8" s="1"/>
  <c r="Q46" i="8" s="1"/>
  <c r="U46" i="8" s="1"/>
  <c r="N30" i="8"/>
  <c r="O30" i="8" s="1"/>
  <c r="Q30" i="8" s="1"/>
  <c r="U30" i="8" s="1"/>
  <c r="N69" i="8"/>
  <c r="O69" i="8" s="1"/>
  <c r="Q69" i="8" s="1"/>
  <c r="U69" i="8" s="1"/>
  <c r="N41" i="8"/>
  <c r="O41" i="8" s="1"/>
  <c r="Q41" i="8" s="1"/>
  <c r="U41" i="8" s="1"/>
  <c r="N21" i="8"/>
  <c r="O21" i="8" s="1"/>
  <c r="Q21" i="8" s="1"/>
  <c r="U21" i="8" s="1"/>
  <c r="N75" i="8"/>
  <c r="O75" i="8" s="1"/>
  <c r="Q75" i="8" s="1"/>
  <c r="U75" i="8" s="1"/>
  <c r="N31" i="8"/>
  <c r="O31" i="8" s="1"/>
  <c r="Q31" i="8" s="1"/>
  <c r="U31" i="8" s="1"/>
  <c r="N47" i="8"/>
  <c r="O47" i="8" s="1"/>
  <c r="Q47" i="8" s="1"/>
  <c r="U47" i="8" s="1"/>
  <c r="N40" i="8"/>
  <c r="O40" i="8" s="1"/>
  <c r="Q40" i="8" s="1"/>
  <c r="U40" i="8" s="1"/>
  <c r="N20" i="8"/>
  <c r="O20" i="8" s="1"/>
  <c r="N68" i="8"/>
  <c r="O68" i="8" s="1"/>
  <c r="Q68" i="8" s="1"/>
  <c r="U68" i="8" s="1"/>
  <c r="M22" i="8"/>
  <c r="M42" i="8"/>
  <c r="M32" i="8"/>
  <c r="L84" i="8"/>
  <c r="N37" i="8"/>
  <c r="O37" i="8" s="1"/>
  <c r="Q37" i="8" s="1"/>
  <c r="U37" i="8" s="1"/>
  <c r="N73" i="8"/>
  <c r="N39" i="8"/>
  <c r="N72" i="8"/>
  <c r="N79" i="8"/>
  <c r="N44" i="8"/>
  <c r="N67" i="8"/>
  <c r="N45" i="8"/>
  <c r="N38" i="8"/>
  <c r="O38" i="8" s="1"/>
  <c r="Q38" i="8" s="1"/>
  <c r="U38" i="8" s="1"/>
  <c r="N66" i="8"/>
  <c r="N78" i="8"/>
  <c r="N36" i="8"/>
  <c r="O36" i="8" s="1"/>
  <c r="Q36" i="8" s="1"/>
  <c r="U36" i="8" s="1"/>
  <c r="N10" i="8"/>
  <c r="O10" i="8" s="1"/>
  <c r="Q10" i="8" s="1"/>
  <c r="U10" i="8" s="1"/>
  <c r="N25" i="8"/>
  <c r="N26" i="8"/>
  <c r="O26" i="8" s="1"/>
  <c r="Q26" i="8" s="1"/>
  <c r="U26" i="8" s="1"/>
  <c r="N34" i="8"/>
  <c r="N35" i="8"/>
  <c r="N5" i="8"/>
  <c r="N6" i="8"/>
  <c r="N28" i="8"/>
  <c r="O28" i="8" s="1"/>
  <c r="Q28" i="8" s="1"/>
  <c r="U28" i="8" s="1"/>
  <c r="N9" i="8"/>
  <c r="O9" i="8" s="1"/>
  <c r="Q9" i="8" s="1"/>
  <c r="U9" i="8" s="1"/>
  <c r="N18" i="8"/>
  <c r="O18" i="8" s="1"/>
  <c r="N7" i="8"/>
  <c r="N29" i="8"/>
  <c r="O29" i="8" s="1"/>
  <c r="N17" i="8"/>
  <c r="O17" i="8" s="1"/>
  <c r="Q17" i="8" s="1"/>
  <c r="U17" i="8" s="1"/>
  <c r="N12" i="8"/>
  <c r="O12" i="8" s="1"/>
  <c r="Q12" i="8" s="1"/>
  <c r="U12" i="8" s="1"/>
  <c r="N15" i="8"/>
  <c r="N19" i="8"/>
  <c r="O19" i="8" s="1"/>
  <c r="Q19" i="8" s="1"/>
  <c r="U19" i="8" s="1"/>
  <c r="N27" i="8"/>
  <c r="O27" i="8" s="1"/>
  <c r="N14" i="8"/>
  <c r="O14" i="8" s="1"/>
  <c r="Q14" i="8" s="1"/>
  <c r="U14" i="8" s="1"/>
  <c r="N24" i="8"/>
  <c r="N16" i="8"/>
  <c r="O16" i="8" s="1"/>
  <c r="Q16" i="8" s="1"/>
  <c r="N13" i="8"/>
  <c r="O13" i="8" s="1"/>
  <c r="Q13" i="8" s="1"/>
  <c r="U13" i="8" s="1"/>
  <c r="N8" i="8"/>
  <c r="O8" i="8" s="1"/>
  <c r="Q8" i="8" s="1"/>
  <c r="U8" i="8" s="1"/>
  <c r="N11" i="8"/>
  <c r="O11" i="8" s="1"/>
  <c r="T16" i="8" l="1"/>
  <c r="U16" i="8"/>
  <c r="Q59" i="8"/>
  <c r="U59" i="8" s="1"/>
  <c r="L47" i="2"/>
  <c r="Q61" i="8"/>
  <c r="U61" i="8" s="1"/>
  <c r="L49" i="2"/>
  <c r="O51" i="8"/>
  <c r="O53" i="8" s="1"/>
  <c r="N53" i="8"/>
  <c r="Q60" i="8"/>
  <c r="U60" i="8" s="1"/>
  <c r="L48" i="2"/>
  <c r="Q57" i="8"/>
  <c r="U57" i="8" s="1"/>
  <c r="L45" i="2"/>
  <c r="Q58" i="8"/>
  <c r="U58" i="8" s="1"/>
  <c r="L46" i="2"/>
  <c r="O56" i="8"/>
  <c r="O64" i="8" s="1"/>
  <c r="N64" i="8"/>
  <c r="Q62" i="8"/>
  <c r="U62" i="8" s="1"/>
  <c r="L50" i="2"/>
  <c r="T63" i="8"/>
  <c r="S63" i="8"/>
  <c r="S52" i="8"/>
  <c r="T52" i="8"/>
  <c r="L42" i="2"/>
  <c r="N42" i="2" s="1"/>
  <c r="O42" i="2" s="1"/>
  <c r="L51" i="2"/>
  <c r="N51" i="2" s="1"/>
  <c r="O51" i="2" s="1"/>
  <c r="N76" i="8"/>
  <c r="N48" i="8"/>
  <c r="Q20" i="8"/>
  <c r="U20" i="8" s="1"/>
  <c r="L18" i="2"/>
  <c r="H84" i="11" s="1"/>
  <c r="L59" i="2"/>
  <c r="N59" i="2" s="1"/>
  <c r="O59" i="2" s="1"/>
  <c r="L19" i="2"/>
  <c r="N19" i="2" s="1"/>
  <c r="O19" i="2" s="1"/>
  <c r="L34" i="2"/>
  <c r="N34" i="2" s="1"/>
  <c r="O34" i="2" s="1"/>
  <c r="L55" i="2"/>
  <c r="N55" i="2" s="1"/>
  <c r="O55" i="2" s="1"/>
  <c r="L62" i="2"/>
  <c r="N62" i="2" s="1"/>
  <c r="O62" i="2" s="1"/>
  <c r="L35" i="2"/>
  <c r="N35" i="2" s="1"/>
  <c r="O35" i="2" s="1"/>
  <c r="L26" i="2"/>
  <c r="N26" i="2" s="1"/>
  <c r="O26" i="2" s="1"/>
  <c r="L63" i="2"/>
  <c r="N63" i="2" s="1"/>
  <c r="O63" i="2" s="1"/>
  <c r="L27" i="2"/>
  <c r="N27" i="2" s="1"/>
  <c r="O27" i="2" s="1"/>
  <c r="L39" i="2"/>
  <c r="N39" i="2" s="1"/>
  <c r="O39" i="2" s="1"/>
  <c r="L38" i="2"/>
  <c r="N38" i="2" s="1"/>
  <c r="O38" i="2" s="1"/>
  <c r="L54" i="2"/>
  <c r="N54" i="2" s="1"/>
  <c r="O54" i="2" s="1"/>
  <c r="T40" i="8"/>
  <c r="S40" i="8"/>
  <c r="S69" i="8"/>
  <c r="T69" i="8"/>
  <c r="N70" i="8"/>
  <c r="S75" i="8"/>
  <c r="T75" i="8"/>
  <c r="S30" i="8"/>
  <c r="T30" i="8"/>
  <c r="T80" i="8"/>
  <c r="S80" i="8"/>
  <c r="S31" i="8"/>
  <c r="T31" i="8"/>
  <c r="T81" i="8"/>
  <c r="S81" i="8"/>
  <c r="T21" i="8"/>
  <c r="S21" i="8"/>
  <c r="S46" i="8"/>
  <c r="T46" i="8"/>
  <c r="S68" i="8"/>
  <c r="T68" i="8"/>
  <c r="N82" i="8"/>
  <c r="T47" i="8"/>
  <c r="S47" i="8"/>
  <c r="S41" i="8"/>
  <c r="T41" i="8"/>
  <c r="Q74" i="8"/>
  <c r="U74" i="8" s="1"/>
  <c r="L58" i="2"/>
  <c r="H95" i="11" s="1"/>
  <c r="N32" i="8"/>
  <c r="N42" i="8"/>
  <c r="N22" i="8"/>
  <c r="M84" i="8"/>
  <c r="O79" i="8"/>
  <c r="O82" i="8" s="1"/>
  <c r="O73" i="8"/>
  <c r="O76" i="8" s="1"/>
  <c r="O45" i="8"/>
  <c r="O48" i="8" s="1"/>
  <c r="O67" i="8"/>
  <c r="O70" i="8" s="1"/>
  <c r="O39" i="8"/>
  <c r="Q39" i="8" s="1"/>
  <c r="U39" i="8" s="1"/>
  <c r="O25" i="8"/>
  <c r="O32" i="8" s="1"/>
  <c r="O15" i="8"/>
  <c r="L13" i="2" s="1"/>
  <c r="H36" i="11" s="1"/>
  <c r="O7" i="8"/>
  <c r="S38" i="8"/>
  <c r="T38" i="8"/>
  <c r="S37" i="8"/>
  <c r="T37" i="8"/>
  <c r="T36" i="8"/>
  <c r="S36" i="8"/>
  <c r="T12" i="8"/>
  <c r="T17" i="8"/>
  <c r="S26" i="8"/>
  <c r="T26" i="8"/>
  <c r="T9" i="8"/>
  <c r="T10" i="8"/>
  <c r="T8" i="8"/>
  <c r="T13" i="8"/>
  <c r="T14" i="8"/>
  <c r="T19" i="8"/>
  <c r="T28" i="8"/>
  <c r="S10" i="8"/>
  <c r="Q27" i="8"/>
  <c r="U27" i="8" s="1"/>
  <c r="Q11" i="8"/>
  <c r="U11" i="8" s="1"/>
  <c r="Q29" i="8"/>
  <c r="U29" i="8" s="1"/>
  <c r="Q18" i="8"/>
  <c r="U18" i="8" s="1"/>
  <c r="L10" i="2"/>
  <c r="H33" i="11" s="1"/>
  <c r="O35" i="8"/>
  <c r="S14" i="8"/>
  <c r="S8" i="8"/>
  <c r="S17" i="8"/>
  <c r="S28" i="8"/>
  <c r="S13" i="8"/>
  <c r="S9" i="8"/>
  <c r="S19" i="8"/>
  <c r="S12" i="8"/>
  <c r="S16" i="8"/>
  <c r="C13" i="2"/>
  <c r="Q51" i="8" l="1"/>
  <c r="U51" i="8" s="1"/>
  <c r="U53" i="8" s="1"/>
  <c r="L41" i="2"/>
  <c r="N41" i="2" s="1"/>
  <c r="E28" i="21"/>
  <c r="G28" i="21" s="1"/>
  <c r="H81" i="11"/>
  <c r="N48" i="2"/>
  <c r="E26" i="21"/>
  <c r="G26" i="21" s="1"/>
  <c r="H79" i="11"/>
  <c r="N46" i="2"/>
  <c r="T60" i="8"/>
  <c r="S60" i="8"/>
  <c r="T58" i="8"/>
  <c r="S58" i="8"/>
  <c r="L44" i="2"/>
  <c r="N44" i="2" s="1"/>
  <c r="J77" i="11" s="1"/>
  <c r="T57" i="8"/>
  <c r="S57" i="8"/>
  <c r="H82" i="11"/>
  <c r="N49" i="2"/>
  <c r="E29" i="21"/>
  <c r="G29" i="21" s="1"/>
  <c r="Q56" i="8"/>
  <c r="E30" i="21"/>
  <c r="G30" i="21" s="1"/>
  <c r="H83" i="11"/>
  <c r="N50" i="2"/>
  <c r="T61" i="8"/>
  <c r="S61" i="8"/>
  <c r="H78" i="11"/>
  <c r="N45" i="2"/>
  <c r="E25" i="21"/>
  <c r="G25" i="21" s="1"/>
  <c r="S62" i="8"/>
  <c r="T62" i="8"/>
  <c r="E27" i="21"/>
  <c r="G27" i="21" s="1"/>
  <c r="H80" i="11"/>
  <c r="N47" i="2"/>
  <c r="T59" i="8"/>
  <c r="S59" i="8"/>
  <c r="E31" i="21"/>
  <c r="G31" i="21" s="1"/>
  <c r="H96" i="11"/>
  <c r="H89" i="11"/>
  <c r="H73" i="11"/>
  <c r="H68" i="11"/>
  <c r="H102" i="11"/>
  <c r="H101" i="11"/>
  <c r="H90" i="11"/>
  <c r="H67" i="11"/>
  <c r="H42" i="11"/>
  <c r="H61" i="11"/>
  <c r="H51" i="11"/>
  <c r="H62" i="11"/>
  <c r="H52" i="11"/>
  <c r="H41" i="11"/>
  <c r="N58" i="2"/>
  <c r="J95" i="11" s="1"/>
  <c r="N18" i="2"/>
  <c r="J84" i="11" s="1"/>
  <c r="S74" i="8"/>
  <c r="T74" i="8"/>
  <c r="T20" i="8"/>
  <c r="S20" i="8"/>
  <c r="O42" i="8"/>
  <c r="O22" i="8"/>
  <c r="N13" i="2"/>
  <c r="J36" i="11" s="1"/>
  <c r="L61" i="2"/>
  <c r="H100" i="11" s="1"/>
  <c r="Q79" i="8"/>
  <c r="L57" i="2"/>
  <c r="H94" i="11" s="1"/>
  <c r="Q73" i="8"/>
  <c r="Q45" i="8"/>
  <c r="N84" i="8"/>
  <c r="L53" i="2"/>
  <c r="H88" i="11" s="1"/>
  <c r="L37" i="2"/>
  <c r="H66" i="11" s="1"/>
  <c r="Q67" i="8"/>
  <c r="L33" i="2"/>
  <c r="H60" i="11" s="1"/>
  <c r="Q25" i="8"/>
  <c r="Q15" i="8"/>
  <c r="U15" i="8" s="1"/>
  <c r="Q7" i="8"/>
  <c r="T39" i="8"/>
  <c r="S39" i="8"/>
  <c r="L8" i="2"/>
  <c r="H31" i="11" s="1"/>
  <c r="L23" i="2"/>
  <c r="H48" i="11" s="1"/>
  <c r="L12" i="2"/>
  <c r="H35" i="11" s="1"/>
  <c r="L25" i="2"/>
  <c r="H50" i="11" s="1"/>
  <c r="L24" i="2"/>
  <c r="H49" i="11" s="1"/>
  <c r="L9" i="2"/>
  <c r="H32" i="11" s="1"/>
  <c r="L17" i="2"/>
  <c r="H40" i="11" s="1"/>
  <c r="L5" i="2"/>
  <c r="H28" i="11" s="1"/>
  <c r="L14" i="2"/>
  <c r="H37" i="11" s="1"/>
  <c r="L16" i="2"/>
  <c r="H39" i="11" s="1"/>
  <c r="L7" i="2"/>
  <c r="H30" i="11" s="1"/>
  <c r="L32" i="2"/>
  <c r="H59" i="11" s="1"/>
  <c r="L30" i="2"/>
  <c r="H57" i="11" s="1"/>
  <c r="L31" i="2"/>
  <c r="H58" i="11" s="1"/>
  <c r="S11" i="8"/>
  <c r="T11" i="8"/>
  <c r="S18" i="8"/>
  <c r="T18" i="8"/>
  <c r="S27" i="8"/>
  <c r="T27" i="8"/>
  <c r="S29" i="8"/>
  <c r="T29" i="8"/>
  <c r="B16" i="21"/>
  <c r="C38" i="21"/>
  <c r="C11" i="21"/>
  <c r="L21" i="2"/>
  <c r="H46" i="11" s="1"/>
  <c r="L11" i="2"/>
  <c r="H34" i="11" s="1"/>
  <c r="Q35" i="8"/>
  <c r="L29" i="2"/>
  <c r="H56" i="11" s="1"/>
  <c r="L6" i="2"/>
  <c r="H29" i="11" s="1"/>
  <c r="L15" i="2"/>
  <c r="H38" i="11" s="1"/>
  <c r="N10" i="2"/>
  <c r="J33" i="11" s="1"/>
  <c r="I7" i="6"/>
  <c r="I8" i="6"/>
  <c r="B7" i="10"/>
  <c r="G5" i="11"/>
  <c r="G25" i="11"/>
  <c r="C12" i="2"/>
  <c r="V2" i="2"/>
  <c r="K2" i="2"/>
  <c r="B2" i="15"/>
  <c r="U7" i="8" l="1"/>
  <c r="W7" i="8"/>
  <c r="T51" i="8"/>
  <c r="T53" i="8" s="1"/>
  <c r="S51" i="8"/>
  <c r="S53" i="8" s="1"/>
  <c r="Q53" i="8"/>
  <c r="H72" i="11"/>
  <c r="Q70" i="8"/>
  <c r="U67" i="8"/>
  <c r="U70" i="8" s="1"/>
  <c r="Q48" i="8"/>
  <c r="U45" i="8"/>
  <c r="U48" i="8" s="1"/>
  <c r="Q76" i="8"/>
  <c r="U73" i="8"/>
  <c r="U76" i="8" s="1"/>
  <c r="Q82" i="8"/>
  <c r="U79" i="8"/>
  <c r="U82" i="8" s="1"/>
  <c r="S56" i="8"/>
  <c r="S64" i="8" s="1"/>
  <c r="U56" i="8"/>
  <c r="U64" i="8" s="1"/>
  <c r="Q42" i="8"/>
  <c r="U35" i="8"/>
  <c r="U42" i="8" s="1"/>
  <c r="Q32" i="8"/>
  <c r="U25" i="8"/>
  <c r="U32" i="8" s="1"/>
  <c r="O47" i="2"/>
  <c r="K80" i="11" s="1"/>
  <c r="J80" i="11"/>
  <c r="O49" i="2"/>
  <c r="K82" i="11" s="1"/>
  <c r="J82" i="11"/>
  <c r="O48" i="2"/>
  <c r="K81" i="11" s="1"/>
  <c r="J81" i="11"/>
  <c r="E24" i="21"/>
  <c r="H77" i="11"/>
  <c r="H85" i="11" s="1"/>
  <c r="O45" i="2"/>
  <c r="K78" i="11" s="1"/>
  <c r="J78" i="11"/>
  <c r="T56" i="8"/>
  <c r="T64" i="8" s="1"/>
  <c r="Q64" i="8"/>
  <c r="O46" i="2"/>
  <c r="K79" i="11" s="1"/>
  <c r="J79" i="11"/>
  <c r="O50" i="2"/>
  <c r="K83" i="11" s="1"/>
  <c r="J83" i="11"/>
  <c r="O44" i="2"/>
  <c r="K77" i="11" s="1"/>
  <c r="O41" i="2"/>
  <c r="K72" i="11" s="1"/>
  <c r="J72" i="11"/>
  <c r="H43" i="11"/>
  <c r="J101" i="11"/>
  <c r="J68" i="11"/>
  <c r="J73" i="11"/>
  <c r="J90" i="11"/>
  <c r="J67" i="11"/>
  <c r="J96" i="11"/>
  <c r="J89" i="11"/>
  <c r="J102" i="11"/>
  <c r="J42" i="11"/>
  <c r="J61" i="11"/>
  <c r="J51" i="11"/>
  <c r="J41" i="11"/>
  <c r="J52" i="11"/>
  <c r="J62" i="11"/>
  <c r="H103" i="11"/>
  <c r="D13" i="21"/>
  <c r="O18" i="2"/>
  <c r="K84" i="11" s="1"/>
  <c r="O58" i="2"/>
  <c r="K95" i="11" s="1"/>
  <c r="Q22" i="8"/>
  <c r="O13" i="2"/>
  <c r="K36" i="11" s="1"/>
  <c r="N32" i="2"/>
  <c r="J59" i="11" s="1"/>
  <c r="N7" i="2"/>
  <c r="J30" i="11" s="1"/>
  <c r="N16" i="2"/>
  <c r="J39" i="11" s="1"/>
  <c r="N57" i="2"/>
  <c r="J94" i="11" s="1"/>
  <c r="H97" i="11"/>
  <c r="N21" i="2"/>
  <c r="J46" i="11" s="1"/>
  <c r="N61" i="2"/>
  <c r="J100" i="11" s="1"/>
  <c r="N31" i="2"/>
  <c r="J58" i="11" s="1"/>
  <c r="N9" i="2"/>
  <c r="J32" i="11" s="1"/>
  <c r="N37" i="2"/>
  <c r="J66" i="11" s="1"/>
  <c r="H69" i="11"/>
  <c r="N25" i="2"/>
  <c r="J50" i="11" s="1"/>
  <c r="N6" i="2"/>
  <c r="J29" i="11" s="1"/>
  <c r="N12" i="2"/>
  <c r="J35" i="11" s="1"/>
  <c r="N29" i="2"/>
  <c r="J56" i="11" s="1"/>
  <c r="N23" i="2"/>
  <c r="J48" i="11" s="1"/>
  <c r="N14" i="2"/>
  <c r="J37" i="11" s="1"/>
  <c r="N8" i="2"/>
  <c r="J31" i="11" s="1"/>
  <c r="N33" i="2"/>
  <c r="J60" i="11" s="1"/>
  <c r="N17" i="2"/>
  <c r="J40" i="11" s="1"/>
  <c r="N30" i="2"/>
  <c r="J57" i="11" s="1"/>
  <c r="N24" i="2"/>
  <c r="J49" i="11" s="1"/>
  <c r="N53" i="2"/>
  <c r="J88" i="11" s="1"/>
  <c r="H91" i="11"/>
  <c r="S79" i="8"/>
  <c r="S82" i="8" s="1"/>
  <c r="S73" i="8"/>
  <c r="S76" i="8" s="1"/>
  <c r="T73" i="8"/>
  <c r="T76" i="8" s="1"/>
  <c r="T67" i="8"/>
  <c r="T70" i="8" s="1"/>
  <c r="T79" i="8"/>
  <c r="T82" i="8" s="1"/>
  <c r="S45" i="8"/>
  <c r="S48" i="8" s="1"/>
  <c r="T45" i="8"/>
  <c r="T48" i="8" s="1"/>
  <c r="O84" i="8"/>
  <c r="S67" i="8"/>
  <c r="S70" i="8" s="1"/>
  <c r="S25" i="8"/>
  <c r="S32" i="8" s="1"/>
  <c r="T25" i="8"/>
  <c r="T32" i="8" s="1"/>
  <c r="S15" i="8"/>
  <c r="T15" i="8"/>
  <c r="T7" i="8"/>
  <c r="S7" i="8"/>
  <c r="N5" i="2"/>
  <c r="J28" i="11" s="1"/>
  <c r="T35" i="8"/>
  <c r="T42" i="8" s="1"/>
  <c r="S35" i="8"/>
  <c r="S42" i="8" s="1"/>
  <c r="N11" i="2"/>
  <c r="J34" i="11" s="1"/>
  <c r="N15" i="2"/>
  <c r="J38" i="11" s="1"/>
  <c r="O10" i="2"/>
  <c r="K33" i="11" s="1"/>
  <c r="T2" i="2"/>
  <c r="I2" i="2"/>
  <c r="D25" i="11"/>
  <c r="D5" i="11"/>
  <c r="Q89" i="8" l="1"/>
  <c r="Q88" i="8"/>
  <c r="Q84" i="8"/>
  <c r="K85" i="11"/>
  <c r="J85" i="11"/>
  <c r="G24" i="21"/>
  <c r="G32" i="21" s="1"/>
  <c r="G33" i="21" s="1"/>
  <c r="E32" i="21"/>
  <c r="D33" i="21"/>
  <c r="K90" i="11"/>
  <c r="K67" i="11"/>
  <c r="K101" i="11"/>
  <c r="K68" i="11"/>
  <c r="K96" i="11"/>
  <c r="K89" i="11"/>
  <c r="K73" i="11"/>
  <c r="K102" i="11"/>
  <c r="K52" i="11"/>
  <c r="K41" i="11"/>
  <c r="K61" i="11"/>
  <c r="K62" i="11"/>
  <c r="K42" i="11"/>
  <c r="K51" i="11"/>
  <c r="J103" i="11"/>
  <c r="T22" i="8"/>
  <c r="T84" i="8" s="1"/>
  <c r="U22" i="8"/>
  <c r="U84" i="8" s="1"/>
  <c r="S22" i="8"/>
  <c r="S84" i="8" s="1"/>
  <c r="H63" i="11"/>
  <c r="O23" i="2"/>
  <c r="K48" i="11" s="1"/>
  <c r="O15" i="2"/>
  <c r="K38" i="11" s="1"/>
  <c r="O57" i="2"/>
  <c r="K94" i="11" s="1"/>
  <c r="J97" i="11"/>
  <c r="O30" i="2"/>
  <c r="K57" i="11" s="1"/>
  <c r="O14" i="2"/>
  <c r="K37" i="11" s="1"/>
  <c r="O31" i="2"/>
  <c r="K58" i="11" s="1"/>
  <c r="O16" i="2"/>
  <c r="K39" i="11" s="1"/>
  <c r="O25" i="2"/>
  <c r="K50" i="11" s="1"/>
  <c r="O7" i="2"/>
  <c r="K30" i="11" s="1"/>
  <c r="O24" i="2"/>
  <c r="K49" i="11" s="1"/>
  <c r="O8" i="2"/>
  <c r="K31" i="11" s="1"/>
  <c r="O12" i="2"/>
  <c r="K35" i="11" s="1"/>
  <c r="O9" i="2"/>
  <c r="K32" i="11" s="1"/>
  <c r="O6" i="2"/>
  <c r="K29" i="11" s="1"/>
  <c r="O61" i="2"/>
  <c r="K100" i="11" s="1"/>
  <c r="O17" i="2"/>
  <c r="K40" i="11" s="1"/>
  <c r="O53" i="2"/>
  <c r="K88" i="11" s="1"/>
  <c r="J91" i="11"/>
  <c r="O33" i="2"/>
  <c r="K60" i="11" s="1"/>
  <c r="O29" i="2"/>
  <c r="K56" i="11" s="1"/>
  <c r="O37" i="2"/>
  <c r="K66" i="11" s="1"/>
  <c r="J69" i="11"/>
  <c r="O21" i="2"/>
  <c r="K46" i="11" s="1"/>
  <c r="O32" i="2"/>
  <c r="K59" i="11" s="1"/>
  <c r="O5" i="2"/>
  <c r="K28" i="11" s="1"/>
  <c r="O11" i="2"/>
  <c r="K34" i="11" s="1"/>
  <c r="I10" i="12"/>
  <c r="R8" i="12"/>
  <c r="L20" i="12"/>
  <c r="C20" i="12"/>
  <c r="R9" i="12"/>
  <c r="K69" i="11" l="1"/>
  <c r="K97" i="11"/>
  <c r="K91" i="11"/>
  <c r="K103" i="11"/>
  <c r="J43" i="11"/>
  <c r="K63" i="11"/>
  <c r="J63" i="11"/>
  <c r="K43" i="11"/>
  <c r="I11" i="12"/>
  <c r="R10" i="12"/>
  <c r="F12" i="13"/>
  <c r="G12" i="13" s="1"/>
  <c r="I12" i="12" l="1"/>
  <c r="R11" i="12"/>
  <c r="F13" i="13"/>
  <c r="G13" i="13" s="1"/>
  <c r="D20" i="12"/>
  <c r="L22" i="2" l="1"/>
  <c r="I13" i="12"/>
  <c r="R12" i="12"/>
  <c r="H47" i="11" l="1"/>
  <c r="H53" i="11" s="1"/>
  <c r="H105" i="11" s="1"/>
  <c r="N22" i="2"/>
  <c r="I14" i="12"/>
  <c r="R13" i="12"/>
  <c r="J47" i="11" l="1"/>
  <c r="J53" i="11" s="1"/>
  <c r="J105" i="11" s="1"/>
  <c r="O22" i="2"/>
  <c r="I15" i="12"/>
  <c r="R14" i="12"/>
  <c r="K47" i="11" l="1"/>
  <c r="K53" i="11" s="1"/>
  <c r="K105" i="11" s="1"/>
  <c r="I16" i="12"/>
  <c r="R15" i="12"/>
  <c r="I17" i="12" l="1"/>
  <c r="R16" i="12"/>
  <c r="I19" i="12" l="1"/>
  <c r="I18" i="12"/>
  <c r="R17" i="12"/>
  <c r="R18" i="12" l="1"/>
  <c r="R19" i="12" l="1"/>
  <c r="F15" i="13" l="1"/>
  <c r="G15" i="13" s="1"/>
  <c r="G16" i="13"/>
</calcChain>
</file>

<file path=xl/sharedStrings.xml><?xml version="1.0" encoding="utf-8"?>
<sst xmlns="http://schemas.openxmlformats.org/spreadsheetml/2006/main" count="1181" uniqueCount="476">
  <si>
    <t>Supplier</t>
  </si>
  <si>
    <t>Description</t>
  </si>
  <si>
    <t>Net</t>
  </si>
  <si>
    <t>VAT</t>
  </si>
  <si>
    <t>Gross</t>
  </si>
  <si>
    <t>General Reserves</t>
  </si>
  <si>
    <t>Account</t>
  </si>
  <si>
    <t>Notes</t>
  </si>
  <si>
    <t>Financial Year Dates</t>
  </si>
  <si>
    <t>Year Start</t>
  </si>
  <si>
    <t>Precept</t>
  </si>
  <si>
    <t>Year End</t>
  </si>
  <si>
    <t>Date</t>
  </si>
  <si>
    <t>Amount</t>
  </si>
  <si>
    <t>Asset</t>
  </si>
  <si>
    <t>Location</t>
  </si>
  <si>
    <t>Total Assets</t>
  </si>
  <si>
    <t>Expenditure</t>
  </si>
  <si>
    <t>Income</t>
  </si>
  <si>
    <t>Committed</t>
  </si>
  <si>
    <t>Total</t>
  </si>
  <si>
    <t>Budget</t>
  </si>
  <si>
    <t>Expected</t>
  </si>
  <si>
    <t>Band D</t>
  </si>
  <si>
    <t>Annual</t>
  </si>
  <si>
    <t xml:space="preserve"> Annual</t>
  </si>
  <si>
    <t>Monthly</t>
  </si>
  <si>
    <t>Weekly</t>
  </si>
  <si>
    <t>Increase £</t>
  </si>
  <si>
    <t>Increase %</t>
  </si>
  <si>
    <t>Balance</t>
  </si>
  <si>
    <t>Expected Income</t>
  </si>
  <si>
    <t>Committed Expenditure</t>
  </si>
  <si>
    <t>Start of Year</t>
  </si>
  <si>
    <t>The outstanding capital balance as at 31 March of all loans from third parties (including PWLB).</t>
  </si>
  <si>
    <t>Total borrowings</t>
  </si>
  <si>
    <t>The value of all the property the authority owns – it is made up of all its fixed assets and long term investments as at 31 March.</t>
  </si>
  <si>
    <t>Total fixed assets plus long term investments and assets</t>
  </si>
  <si>
    <t>Total value of cash and short term investments</t>
  </si>
  <si>
    <t>Total balances and reserves at the end of the year. Must equal (1+2+3) - (4+5+6).</t>
  </si>
  <si>
    <t>(=) Balances carried forward</t>
  </si>
  <si>
    <t>(-) All other payments</t>
  </si>
  <si>
    <t>Total expenditure or payments of capital and interest made during the year on the authority’s borrowings (if any).</t>
  </si>
  <si>
    <t>(-) Loan interest/capital repayments</t>
  </si>
  <si>
    <t>Total expenditure or payments made to and on behalf of all employees. Include gross salaries and wages, employers NI contributions, employers pension contributions, gratuities and severance payments</t>
  </si>
  <si>
    <t>(-) Staff costs</t>
  </si>
  <si>
    <t>Total income or receipts as recorded in the cashbook less the precept or rates/levies received (line 2). Include any grants received.</t>
  </si>
  <si>
    <t>(+) Total other receipts</t>
  </si>
  <si>
    <t>Total amount of precept (or for IDBs rates and levies) received or receivable in the year. Exclude any grants received.</t>
  </si>
  <si>
    <t>(+) Precept or Rates and Levies</t>
  </si>
  <si>
    <t>Total balances and reserves at the beginning of the year as recorded in the financial records. Value must agree to Box 7 of previous year.</t>
  </si>
  <si>
    <t>Balances brought forward</t>
  </si>
  <si>
    <t>Narrative for any Variance of 15% or above</t>
  </si>
  <si>
    <t>%</t>
  </si>
  <si>
    <t>£</t>
  </si>
  <si>
    <t>Notes and Guidance</t>
  </si>
  <si>
    <t>Variances</t>
  </si>
  <si>
    <t>Year Ending</t>
  </si>
  <si>
    <t>Reserve</t>
  </si>
  <si>
    <t>Explanation of Variance Not Required</t>
  </si>
  <si>
    <t>Rounding errors of up to £2 are tolerable</t>
  </si>
  <si>
    <t>Variances of £200 or less are tolerable</t>
  </si>
  <si>
    <t>Box 10 variance explanation not required of change can be explained by box 5</t>
  </si>
  <si>
    <t>CIL</t>
  </si>
  <si>
    <t>Summary</t>
  </si>
  <si>
    <t>Play Park</t>
  </si>
  <si>
    <t>Electorate</t>
  </si>
  <si>
    <t>6 months operating costs</t>
  </si>
  <si>
    <t>Parish Information</t>
  </si>
  <si>
    <t>Council Name</t>
  </si>
  <si>
    <t>Number</t>
  </si>
  <si>
    <t>Bank</t>
  </si>
  <si>
    <t>Opening</t>
  </si>
  <si>
    <t>Account Name</t>
  </si>
  <si>
    <t>Transfers</t>
  </si>
  <si>
    <t>Accounts</t>
  </si>
  <si>
    <t>In</t>
  </si>
  <si>
    <t>Out</t>
  </si>
  <si>
    <t>Statement</t>
  </si>
  <si>
    <t>Recon</t>
  </si>
  <si>
    <t>Maximum Expenditure</t>
  </si>
  <si>
    <t>Actuals</t>
  </si>
  <si>
    <t>31 March</t>
  </si>
  <si>
    <t xml:space="preserve">Please round all figures to nearest £1. Do not leave any boxes blank and report £0 or Nil balances. </t>
  </si>
  <si>
    <t>All figures must agree to underlying financial records.</t>
  </si>
  <si>
    <t>YTD</t>
  </si>
  <si>
    <t>VAT Reg</t>
  </si>
  <si>
    <t>Last Year</t>
  </si>
  <si>
    <t>Next Year</t>
  </si>
  <si>
    <t>Grants</t>
  </si>
  <si>
    <t>Total Expenditure on Payments Sheet</t>
  </si>
  <si>
    <t>Total Income on Receipts Sheet</t>
  </si>
  <si>
    <t xml:space="preserve">S137
</t>
  </si>
  <si>
    <t>Current Year</t>
  </si>
  <si>
    <t>Current</t>
  </si>
  <si>
    <t>Total Cash in Bank</t>
  </si>
  <si>
    <t>Payments</t>
  </si>
  <si>
    <t>Receipts</t>
  </si>
  <si>
    <t>Business Contingency</t>
  </si>
  <si>
    <t>By</t>
  </si>
  <si>
    <t>Variance</t>
  </si>
  <si>
    <t>+/-</t>
  </si>
  <si>
    <t>Operating Costs</t>
  </si>
  <si>
    <t>Totals</t>
  </si>
  <si>
    <t>Precept Required</t>
  </si>
  <si>
    <t>Precept increment:</t>
  </si>
  <si>
    <t>Number of Band D properties ("Tax Base"):</t>
  </si>
  <si>
    <t>Asset Register</t>
  </si>
  <si>
    <t>Enter the lowest precept value:</t>
  </si>
  <si>
    <t>+ / -</t>
  </si>
  <si>
    <t>⛔</t>
  </si>
  <si>
    <t>Cost</t>
  </si>
  <si>
    <t>Adjusted Cash</t>
  </si>
  <si>
    <t>Insurance</t>
  </si>
  <si>
    <t xml:space="preserve"> </t>
  </si>
  <si>
    <t>Bank Charges</t>
  </si>
  <si>
    <t>Cemetery</t>
  </si>
  <si>
    <t>Surplus Funds</t>
  </si>
  <si>
    <t>Income (excl. Precept)</t>
  </si>
  <si>
    <t>Earmarked Reserves</t>
  </si>
  <si>
    <t>Elections</t>
  </si>
  <si>
    <t>S.137</t>
  </si>
  <si>
    <t>S.137  per Head</t>
  </si>
  <si>
    <t>Current Balances</t>
  </si>
  <si>
    <t>Opening Balance</t>
  </si>
  <si>
    <t>Item</t>
  </si>
  <si>
    <t>Disposal</t>
  </si>
  <si>
    <t>Y Columns</t>
  </si>
  <si>
    <t>Invoice</t>
  </si>
  <si>
    <t>Bank Payee</t>
  </si>
  <si>
    <t>Expense</t>
  </si>
  <si>
    <t>Paid</t>
  </si>
  <si>
    <t>Meeting</t>
  </si>
  <si>
    <t>Minute</t>
  </si>
  <si>
    <t>(if different)</t>
  </si>
  <si>
    <t>Claimed</t>
  </si>
  <si>
    <t>Ref.</t>
  </si>
  <si>
    <t>Received</t>
  </si>
  <si>
    <t xml:space="preserve">From </t>
  </si>
  <si>
    <t>Bank Transfers</t>
  </si>
  <si>
    <t>From</t>
  </si>
  <si>
    <t>To</t>
  </si>
  <si>
    <t>Annual Governance and Accounting Return</t>
  </si>
  <si>
    <t>Bank Reconciliations</t>
  </si>
  <si>
    <t>Budget Report</t>
  </si>
  <si>
    <t>(Net) Expenditure Summary</t>
  </si>
  <si>
    <t>Budget Code</t>
  </si>
  <si>
    <t>% of Total</t>
  </si>
  <si>
    <t>% of</t>
  </si>
  <si>
    <t>Income Summary</t>
  </si>
  <si>
    <t>Precept Calculator</t>
  </si>
  <si>
    <t>Financial Summaries</t>
  </si>
  <si>
    <t>Closing Balance (Accounts)</t>
  </si>
  <si>
    <t>Barnton</t>
  </si>
  <si>
    <t>Salary</t>
  </si>
  <si>
    <t>Spare Code</t>
  </si>
  <si>
    <t>CW&amp;CC</t>
  </si>
  <si>
    <t>Allotments</t>
  </si>
  <si>
    <t>Room Hire</t>
  </si>
  <si>
    <t>Misc</t>
  </si>
  <si>
    <t>Interest</t>
  </si>
  <si>
    <t>VAT Recovered</t>
  </si>
  <si>
    <t>Burial Fees</t>
  </si>
  <si>
    <t>Administration</t>
  </si>
  <si>
    <t>Clerk Salary (net)</t>
  </si>
  <si>
    <t>LGA Pension</t>
  </si>
  <si>
    <t>PAYE/NI</t>
  </si>
  <si>
    <t>Payroll services</t>
  </si>
  <si>
    <t>Training &amp; Development</t>
  </si>
  <si>
    <t>IT</t>
  </si>
  <si>
    <t>Office equipment</t>
  </si>
  <si>
    <t>Bid writing</t>
  </si>
  <si>
    <t>Newsletter</t>
  </si>
  <si>
    <t>Governance</t>
  </si>
  <si>
    <t>Audit Fees</t>
  </si>
  <si>
    <t>Chairman's Allowance</t>
  </si>
  <si>
    <t>Maintenance</t>
  </si>
  <si>
    <t>Play Equipment</t>
  </si>
  <si>
    <t>Play Area Inspections</t>
  </si>
  <si>
    <t>Waste Disposal</t>
  </si>
  <si>
    <t>Utilities</t>
  </si>
  <si>
    <t>Additional Maintenance</t>
  </si>
  <si>
    <t>Events</t>
  </si>
  <si>
    <t>Subscriptions</t>
  </si>
  <si>
    <t>CHALC</t>
  </si>
  <si>
    <t>S137</t>
  </si>
  <si>
    <t>Grand Totals</t>
  </si>
  <si>
    <t>Total Expenditure</t>
  </si>
  <si>
    <t>Parks Maintenance &amp; Cemetery Grounds</t>
  </si>
  <si>
    <t>Park Warden Salary (net)</t>
  </si>
  <si>
    <t>Village Orderly Salary (net)</t>
  </si>
  <si>
    <t>Travel/Expenses (staff)</t>
  </si>
  <si>
    <t>Amazon</t>
  </si>
  <si>
    <t>Hayes Drive</t>
  </si>
  <si>
    <t>Nursery Rd Rec Ground</t>
  </si>
  <si>
    <t>Runcorn Road Rec Ground</t>
  </si>
  <si>
    <t>Barnton Football Ground</t>
  </si>
  <si>
    <t>Jubilee Corner War Memorial site</t>
  </si>
  <si>
    <t>notice board/lighting</t>
  </si>
  <si>
    <t>Office Building/Cemetery Gates</t>
  </si>
  <si>
    <t>Garage (Allotments Site, Hayes Drive)</t>
  </si>
  <si>
    <t>Civic Regalia;-</t>
  </si>
  <si>
    <t xml:space="preserve">Chairman's chain </t>
  </si>
  <si>
    <t>Hayes clock</t>
  </si>
  <si>
    <t>Christmas Lights</t>
  </si>
  <si>
    <t>IT Equipment</t>
  </si>
  <si>
    <t>Mobile phone (Clerk)</t>
  </si>
  <si>
    <t>Defibrillators x 1</t>
  </si>
  <si>
    <t>Litter Bins &amp; Signs</t>
  </si>
  <si>
    <t>Office Equipment, Fixtures, Fittings &amp; Furniture</t>
  </si>
  <si>
    <t>CCTV</t>
  </si>
  <si>
    <t>Railings, fences &amp; gates</t>
  </si>
  <si>
    <t>Cemetery &amp; other benches Benches</t>
  </si>
  <si>
    <t>Gates &amp; fencing lighting</t>
  </si>
  <si>
    <t>War memorial</t>
  </si>
  <si>
    <t>RRRG</t>
  </si>
  <si>
    <t>NRRG</t>
  </si>
  <si>
    <t>skate park</t>
  </si>
  <si>
    <t>Goal posts (NRRG)</t>
  </si>
  <si>
    <t>2021/2022/2024</t>
  </si>
  <si>
    <t xml:space="preserve">                 </t>
  </si>
  <si>
    <t>War Memorial</t>
  </si>
  <si>
    <t>Reserves</t>
  </si>
  <si>
    <t>Renovation of Jubilee Corner</t>
  </si>
  <si>
    <t>2024-25 VAT to Reclaim</t>
  </si>
  <si>
    <r>
      <t xml:space="preserve">The sum of all current and deposit bank accounts, cash holdings and short term investments held as at 31 March – </t>
    </r>
    <r>
      <rPr>
        <b/>
        <sz val="10"/>
        <color theme="1"/>
        <rFont val="Calibri"/>
        <family val="2"/>
        <scheme val="minor"/>
      </rPr>
      <t>To agree with bank reconciliation.</t>
    </r>
  </si>
  <si>
    <t>Legal</t>
  </si>
  <si>
    <t>Emergency</t>
  </si>
  <si>
    <t>Grounds Equipment</t>
  </si>
  <si>
    <t>Building Maintenance</t>
  </si>
  <si>
    <t>Roundabout</t>
  </si>
  <si>
    <t>Total Reserves</t>
  </si>
  <si>
    <t>Opening
Balance</t>
  </si>
  <si>
    <t>Expenditure
in Year</t>
  </si>
  <si>
    <t>Top-Up
in Year</t>
  </si>
  <si>
    <t>Closing
Balance</t>
  </si>
  <si>
    <t>LapTop</t>
  </si>
  <si>
    <t>Gazebo</t>
  </si>
  <si>
    <t>Whiteboard</t>
  </si>
  <si>
    <t>Air Conditioning</t>
  </si>
  <si>
    <t>Suez</t>
  </si>
  <si>
    <t>Itseeze</t>
  </si>
  <si>
    <t>BT</t>
  </si>
  <si>
    <t>British Gas</t>
  </si>
  <si>
    <t>J &amp; J Landscapes</t>
  </si>
  <si>
    <t>ID Mobile</t>
  </si>
  <si>
    <t>Google Play</t>
  </si>
  <si>
    <t>Assistant Clerk Salary (net)</t>
  </si>
  <si>
    <t>NTC</t>
  </si>
  <si>
    <t>Granart</t>
  </si>
  <si>
    <t>Current Account Surplus 24/25</t>
  </si>
  <si>
    <t>New  War Memorial</t>
  </si>
  <si>
    <t>New Vaults - Cemetery x 10</t>
  </si>
  <si>
    <t>New vaults x 20</t>
  </si>
  <si>
    <t>Insurance value</t>
  </si>
  <si>
    <t xml:space="preserve">                               </t>
  </si>
  <si>
    <t>Staff</t>
  </si>
  <si>
    <t xml:space="preserve">Gross Expenditure </t>
  </si>
  <si>
    <t>Gross - Staff Costs</t>
  </si>
  <si>
    <t>Box 6 Agar</t>
  </si>
  <si>
    <t>Staff Costs</t>
  </si>
  <si>
    <t>Box 4 Agar</t>
  </si>
  <si>
    <t>Box 3 Agar</t>
  </si>
  <si>
    <t>Total Receipts less Precept</t>
  </si>
  <si>
    <t>Bank Balance Box 7 &amp; 8  Agar</t>
  </si>
  <si>
    <t>Box 9 on Agar</t>
  </si>
  <si>
    <t>Box  2 Agar</t>
  </si>
  <si>
    <t>Box 1 Agar</t>
  </si>
  <si>
    <t>current</t>
  </si>
  <si>
    <t>Budgeted Amount</t>
  </si>
  <si>
    <t>GB6310J8ABEI</t>
  </si>
  <si>
    <t>GB305634227</t>
  </si>
  <si>
    <t>Sanitary Bin/Liners/disposable bags</t>
  </si>
  <si>
    <t>GB63116SABEI</t>
  </si>
  <si>
    <t>Disposable bags</t>
  </si>
  <si>
    <t>GB602GQZ63GYPI</t>
  </si>
  <si>
    <t>GB221079048</t>
  </si>
  <si>
    <t>Hand Towels</t>
  </si>
  <si>
    <t>GB600E5UWDHQDI</t>
  </si>
  <si>
    <t>GB144523625</t>
  </si>
  <si>
    <t>Kitchen Rolls/Drying Cloth</t>
  </si>
  <si>
    <t>GB6312HZABEI</t>
  </si>
  <si>
    <t>Gloves</t>
  </si>
  <si>
    <t>GB631S50ABEI</t>
  </si>
  <si>
    <t>Toilet Sign</t>
  </si>
  <si>
    <t>WM000229087</t>
  </si>
  <si>
    <t>Waste Managed</t>
  </si>
  <si>
    <t>Waste Collection</t>
  </si>
  <si>
    <t>WM0002267292</t>
  </si>
  <si>
    <t>23951</t>
  </si>
  <si>
    <t>Copyprint</t>
  </si>
  <si>
    <t>Printing</t>
  </si>
  <si>
    <t>39</t>
  </si>
  <si>
    <t>Keith Bate</t>
  </si>
  <si>
    <t>Grave Digger</t>
  </si>
  <si>
    <t>Café</t>
  </si>
  <si>
    <t>Sue Harrison</t>
  </si>
  <si>
    <t>Café - Cake Ingredients</t>
  </si>
  <si>
    <t>M033FO</t>
  </si>
  <si>
    <t>GB635JJ8ABEI</t>
  </si>
  <si>
    <t>Large Blue Storage Bag</t>
  </si>
  <si>
    <t>GB601FOMVNQHXI</t>
  </si>
  <si>
    <t>GB294835220</t>
  </si>
  <si>
    <t>Doggy Bags 500</t>
  </si>
  <si>
    <t>GB60042BT4A2FI</t>
  </si>
  <si>
    <t>GB506403622</t>
  </si>
  <si>
    <t>Foldable Wagon Cart</t>
  </si>
  <si>
    <t>14344234</t>
  </si>
  <si>
    <t>24/02/2026 - 24/03/2026  Cemetery Chapel</t>
  </si>
  <si>
    <t>14359754</t>
  </si>
  <si>
    <t>28/02/2026 - 28/03/2026  Rec</t>
  </si>
  <si>
    <t>2025/308</t>
  </si>
  <si>
    <t>Business Planning For the Future</t>
  </si>
  <si>
    <t>39139</t>
  </si>
  <si>
    <t>Edge</t>
  </si>
  <si>
    <t>GB421226639</t>
  </si>
  <si>
    <t>5 Year Contract</t>
  </si>
  <si>
    <t>Jim Devine</t>
  </si>
  <si>
    <t>1362</t>
  </si>
  <si>
    <t>J&amp;J Landscapes</t>
  </si>
  <si>
    <t>Grounds Maintenance March 26</t>
  </si>
  <si>
    <t>1364</t>
  </si>
  <si>
    <t>Grounds Maintenance- Shed Flags</t>
  </si>
  <si>
    <t>4018</t>
  </si>
  <si>
    <t>Rabbittdigital</t>
  </si>
  <si>
    <t>Website</t>
  </si>
  <si>
    <t>April 2026</t>
  </si>
  <si>
    <t>John Stringer</t>
  </si>
  <si>
    <t>Julia Hughes</t>
  </si>
  <si>
    <t>Karen Newton</t>
  </si>
  <si>
    <t>Toni Critchlow</t>
  </si>
  <si>
    <t>CPF</t>
  </si>
  <si>
    <t>HMRC</t>
  </si>
  <si>
    <t>April Payroll</t>
  </si>
  <si>
    <t>Jack Arnold and Megan Hope</t>
  </si>
  <si>
    <t>Allotment Fee 2026-27</t>
  </si>
  <si>
    <t xml:space="preserve">Claire Wilkinson </t>
  </si>
  <si>
    <t xml:space="preserve">Allotment Fee 2026-27 </t>
  </si>
  <si>
    <t>B9</t>
  </si>
  <si>
    <t>A6</t>
  </si>
  <si>
    <t>LC292C</t>
  </si>
  <si>
    <t>Whitbys</t>
  </si>
  <si>
    <t>Frith - Memorial</t>
  </si>
  <si>
    <t>LC590</t>
  </si>
  <si>
    <t>Roebuck</t>
  </si>
  <si>
    <t>Funeral</t>
  </si>
  <si>
    <t>LC591</t>
  </si>
  <si>
    <t>Quilty</t>
  </si>
  <si>
    <t>B8</t>
  </si>
  <si>
    <t>Stobbart</t>
  </si>
  <si>
    <t>CWAC</t>
  </si>
  <si>
    <t>Precept 2026-27</t>
  </si>
  <si>
    <t>VAT Reclaim 2025-26</t>
  </si>
  <si>
    <t>GB631S5RABEI</t>
  </si>
  <si>
    <t>Tissues and Wipes</t>
  </si>
  <si>
    <t>Charges</t>
  </si>
  <si>
    <t>Wooden Plat Markers/Laminated Cover plates</t>
  </si>
  <si>
    <t>Rustic Charm</t>
  </si>
  <si>
    <t>Kualo</t>
  </si>
  <si>
    <t>April</t>
  </si>
  <si>
    <t>March</t>
  </si>
  <si>
    <t>1956881</t>
  </si>
  <si>
    <t>Gb63F8JSABEI</t>
  </si>
  <si>
    <t>Grip Tape</t>
  </si>
  <si>
    <t>Gb60FWQOABEI</t>
  </si>
  <si>
    <t>Gorilla tape</t>
  </si>
  <si>
    <t>GB635MYXABEI</t>
  </si>
  <si>
    <t>Spiral Stakes - Refund Toni Critchlow</t>
  </si>
  <si>
    <t>Expenses</t>
  </si>
  <si>
    <t>10903-26</t>
  </si>
  <si>
    <t>Sanctum Vault</t>
  </si>
  <si>
    <t>ICCM</t>
  </si>
  <si>
    <t>ICCM Membership</t>
  </si>
  <si>
    <t>Refund - See invoice</t>
  </si>
  <si>
    <t>Judy Pheonix</t>
  </si>
  <si>
    <t>Cake ingriedients milk</t>
  </si>
  <si>
    <t>LC405</t>
  </si>
  <si>
    <t>Cresswell - Whitbys</t>
  </si>
  <si>
    <t>Memorial</t>
  </si>
  <si>
    <t>9262</t>
  </si>
  <si>
    <t>Play Inspections</t>
  </si>
  <si>
    <t>10915/26</t>
  </si>
  <si>
    <t>12700307626</t>
  </si>
  <si>
    <t>Oakwood Close -  street name plate</t>
  </si>
  <si>
    <t>10911/26</t>
  </si>
  <si>
    <t>Vault Plaque</t>
  </si>
  <si>
    <t>April 26</t>
  </si>
  <si>
    <t>Google</t>
  </si>
  <si>
    <t>Subscription</t>
  </si>
  <si>
    <t>Pat fewtrell</t>
  </si>
  <si>
    <t>Café - Cake/Biscuits</t>
  </si>
  <si>
    <t>Robuck Memorial</t>
  </si>
  <si>
    <t>Dignity Funerals</t>
  </si>
  <si>
    <t>12700307526</t>
  </si>
  <si>
    <t>Election Charge</t>
  </si>
  <si>
    <t>Should be paid from Current 12700307526</t>
  </si>
  <si>
    <t>LC547</t>
  </si>
  <si>
    <t>Stuart Forster</t>
  </si>
  <si>
    <t>George Bell</t>
  </si>
  <si>
    <t>Dodgeson and Bell FS</t>
  </si>
  <si>
    <t>May 2026</t>
  </si>
  <si>
    <t>GB641323ABEI</t>
  </si>
  <si>
    <t>Plastic Cups</t>
  </si>
  <si>
    <t>GB641YR2AEBI</t>
  </si>
  <si>
    <t>Magnetic Hooks</t>
  </si>
  <si>
    <t>GB641YSTABEI</t>
  </si>
  <si>
    <t>Ink</t>
  </si>
  <si>
    <t>06/05/20269</t>
  </si>
  <si>
    <t>GB642792ABEI</t>
  </si>
  <si>
    <t>Water Pitchers</t>
  </si>
  <si>
    <t>24303</t>
  </si>
  <si>
    <t>Photocopier</t>
  </si>
  <si>
    <t>WM-0002350206</t>
  </si>
  <si>
    <t>Waste managed</t>
  </si>
  <si>
    <t>B&amp;Q</t>
  </si>
  <si>
    <t>compost x 3</t>
  </si>
  <si>
    <t>4034</t>
  </si>
  <si>
    <t>INV-*10682/26</t>
  </si>
  <si>
    <t>Plaque Wright</t>
  </si>
  <si>
    <t>INV-10170/25</t>
  </si>
  <si>
    <t>Plaque Thompson</t>
  </si>
  <si>
    <t>41</t>
  </si>
  <si>
    <t>Gb6435XYABEI</t>
  </si>
  <si>
    <t>Evo StiK - waterproof Glue</t>
  </si>
  <si>
    <t>GB6444CZABEI</t>
  </si>
  <si>
    <t>Doggy Bags 1000</t>
  </si>
  <si>
    <t>14651387</t>
  </si>
  <si>
    <t>24/03/2026 to 24/04/2026 - Cemerety</t>
  </si>
  <si>
    <t>14666791</t>
  </si>
  <si>
    <t>28/03/2026 to 27/04/2026 - Rec</t>
  </si>
  <si>
    <t>MO34JV</t>
  </si>
  <si>
    <t>BCP010426</t>
  </si>
  <si>
    <t>Tony Shaw</t>
  </si>
  <si>
    <t>Spreadsheet update</t>
  </si>
  <si>
    <t xml:space="preserve">compost </t>
  </si>
  <si>
    <t>GB64BPMKAEBI</t>
  </si>
  <si>
    <t>CCTV Sinage</t>
  </si>
  <si>
    <t>GB64BPMUAEBI</t>
  </si>
  <si>
    <t>A3 Frames</t>
  </si>
  <si>
    <t>GB600YHQD5HAJI</t>
  </si>
  <si>
    <t>GB493226241</t>
  </si>
  <si>
    <t>GB64DYOIAEBI</t>
  </si>
  <si>
    <t>A3 Paper</t>
  </si>
  <si>
    <t>Charges May 2026</t>
  </si>
  <si>
    <t>May Payroll</t>
  </si>
  <si>
    <t>1369</t>
  </si>
  <si>
    <t>Grounds maintenance</t>
  </si>
  <si>
    <t>9372</t>
  </si>
  <si>
    <t>May 26</t>
  </si>
  <si>
    <t>GB64F5WVABEI</t>
  </si>
  <si>
    <t>Awards</t>
  </si>
  <si>
    <t>GB64GJTUABEI</t>
  </si>
  <si>
    <t>Cleaning Pack</t>
  </si>
  <si>
    <t>BPC</t>
  </si>
  <si>
    <t>Life Church - Grant</t>
  </si>
  <si>
    <t>café</t>
  </si>
  <si>
    <t>The Range</t>
  </si>
  <si>
    <t>Need Invoice - Print out Received</t>
  </si>
  <si>
    <t>BGEG</t>
  </si>
  <si>
    <t>Grant</t>
  </si>
  <si>
    <t>GB60130WVWRNDI</t>
  </si>
  <si>
    <t>GB316948770</t>
  </si>
  <si>
    <t>Cleaning cloths (Brass)</t>
  </si>
  <si>
    <t>BS Band</t>
  </si>
  <si>
    <t>Christ Church</t>
  </si>
  <si>
    <t>Diane Devine</t>
  </si>
  <si>
    <t>Milk and Butter</t>
  </si>
  <si>
    <t>Card</t>
  </si>
  <si>
    <t>Finance</t>
  </si>
  <si>
    <t>D/D</t>
  </si>
  <si>
    <t>Bacs</t>
  </si>
  <si>
    <t>CHG</t>
  </si>
  <si>
    <t>card</t>
  </si>
  <si>
    <t>CHQ</t>
  </si>
  <si>
    <t>Chq</t>
  </si>
  <si>
    <t>Extraordinary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</si>
</sst>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dd/mm/yy;@"/>
    <numFmt numFmtId="165" formatCode="mmm\ yy"/>
    <numFmt numFmtId="166" formatCode="#,##0.00_ ;[Red]\-#,##0.00\ "/>
    <numFmt numFmtId="167" formatCode="&quot;£&quot;#,##0"/>
    <numFmt numFmtId="168" formatCode="&quot;£&quot;#,##0.00"/>
    <numFmt numFmtId="169" formatCode="0.0%"/>
    <numFmt numFmtId="170" formatCode="mmm"/>
    <numFmt numFmtId="171" formatCode="yyyy"/>
    <numFmt numFmtId="172" formatCode="#,##0_ ;[Red]\-#,##0\ "/>
  </numFmts>
  <fonts count="2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name val="Gabriola"/>
      <family val="5"/>
    </font>
    <font>
      <sz val="20"/>
      <name val="Calibri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0"/>
      <color theme="1"/>
      <name val="Wingdings"/>
      <charset val="2"/>
    </font>
    <font>
      <b/>
      <sz val="10"/>
      <color theme="0"/>
      <name val="Calibri"/>
      <family val="2"/>
      <scheme val="minor"/>
    </font>
    <font>
      <sz val="10"/>
      <color rgb="FFFF0000"/>
      <name val="Segoe UI Symbol"/>
      <family val="2"/>
    </font>
    <font>
      <sz val="10"/>
      <color rgb="FF00B050"/>
      <name val="Wingdings"/>
      <charset val="2"/>
    </font>
    <font>
      <sz val="10"/>
      <color theme="0"/>
      <name val="Calibri"/>
      <family val="2"/>
      <scheme val="minor"/>
    </font>
    <font>
      <sz val="9"/>
      <color theme="1"/>
      <name val="Calibri"/>
      <family val="2"/>
    </font>
    <font>
      <b/>
      <sz val="10"/>
      <color rgb="FF00B050"/>
      <name val="Calibri"/>
      <family val="2"/>
    </font>
    <font>
      <b/>
      <sz val="10"/>
      <color rgb="FF00B050"/>
      <name val="Calibri"/>
      <family val="2"/>
      <scheme val="minor"/>
    </font>
    <font>
      <b/>
      <sz val="10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Border="0"/>
  </cellStyleXfs>
  <cellXfs count="345">
    <xf numFmtId="0" fontId="0" fillId="0" borderId="0" xfId="0"/>
    <xf numFmtId="164" fontId="0" fillId="3" borderId="1" xfId="0" applyNumberFormat="1" applyFill="1" applyBorder="1" applyAlignment="1">
      <alignment horizontal="left" vertical="center"/>
    </xf>
    <xf numFmtId="4" fontId="0" fillId="3" borderId="1" xfId="0" applyNumberFormat="1" applyFill="1" applyBorder="1" applyAlignment="1">
      <alignment horizontal="right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horizontal="right"/>
    </xf>
    <xf numFmtId="164" fontId="2" fillId="2" borderId="1" xfId="0" applyNumberFormat="1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left" vertical="center"/>
    </xf>
    <xf numFmtId="4" fontId="0" fillId="3" borderId="1" xfId="0" applyNumberFormat="1" applyFill="1" applyBorder="1" applyAlignment="1">
      <alignment vertical="center"/>
    </xf>
    <xf numFmtId="164" fontId="2" fillId="2" borderId="1" xfId="0" applyNumberFormat="1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right" vertical="center"/>
    </xf>
    <xf numFmtId="0" fontId="4" fillId="0" borderId="0" xfId="0" applyFont="1"/>
    <xf numFmtId="0" fontId="4" fillId="0" borderId="2" xfId="0" applyFont="1" applyBorder="1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top"/>
    </xf>
    <xf numFmtId="4" fontId="0" fillId="0" borderId="1" xfId="0" applyNumberFormat="1" applyBorder="1" applyAlignment="1">
      <alignment horizontal="right" vertical="center"/>
    </xf>
    <xf numFmtId="0" fontId="7" fillId="4" borderId="1" xfId="0" applyFont="1" applyFill="1" applyBorder="1" applyAlignment="1">
      <alignment horizontal="right" vertical="center" indent="1"/>
    </xf>
    <xf numFmtId="0" fontId="8" fillId="4" borderId="1" xfId="0" applyFont="1" applyFill="1" applyBorder="1" applyAlignment="1">
      <alignment horizontal="right" vertical="center" indent="1"/>
    </xf>
    <xf numFmtId="17" fontId="8" fillId="4" borderId="1" xfId="0" applyNumberFormat="1" applyFont="1" applyFill="1" applyBorder="1" applyAlignment="1">
      <alignment horizontal="right" vertical="center" indent="1"/>
    </xf>
    <xf numFmtId="17" fontId="8" fillId="4" borderId="1" xfId="0" applyNumberFormat="1" applyFont="1" applyFill="1" applyBorder="1" applyAlignment="1">
      <alignment horizontal="center" vertical="center"/>
    </xf>
    <xf numFmtId="17" fontId="7" fillId="4" borderId="1" xfId="0" applyNumberFormat="1" applyFont="1" applyFill="1" applyBorder="1" applyAlignment="1">
      <alignment horizontal="center" vertical="center"/>
    </xf>
    <xf numFmtId="166" fontId="7" fillId="4" borderId="1" xfId="0" applyNumberFormat="1" applyFont="1" applyFill="1" applyBorder="1" applyAlignment="1">
      <alignment horizontal="center"/>
    </xf>
    <xf numFmtId="164" fontId="8" fillId="4" borderId="12" xfId="0" applyNumberFormat="1" applyFont="1" applyFill="1" applyBorder="1" applyAlignment="1">
      <alignment horizontal="center" vertical="top" wrapText="1"/>
    </xf>
    <xf numFmtId="4" fontId="8" fillId="4" borderId="12" xfId="0" applyNumberFormat="1" applyFont="1" applyFill="1" applyBorder="1" applyAlignment="1">
      <alignment horizontal="center" vertical="top" wrapText="1"/>
    </xf>
    <xf numFmtId="164" fontId="8" fillId="4" borderId="13" xfId="0" applyNumberFormat="1" applyFont="1" applyFill="1" applyBorder="1" applyAlignment="1">
      <alignment horizontal="center" vertical="top" wrapText="1"/>
    </xf>
    <xf numFmtId="4" fontId="8" fillId="4" borderId="13" xfId="0" applyNumberFormat="1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right" vertical="center" indent="1"/>
    </xf>
    <xf numFmtId="0" fontId="9" fillId="4" borderId="1" xfId="0" applyFont="1" applyFill="1" applyBorder="1" applyAlignment="1">
      <alignment horizontal="right" vertical="center" indent="1"/>
    </xf>
    <xf numFmtId="0" fontId="7" fillId="0" borderId="0" xfId="0" applyFont="1" applyAlignment="1">
      <alignment horizontal="right" vertical="center" indent="1"/>
    </xf>
    <xf numFmtId="0" fontId="9" fillId="3" borderId="0" xfId="0" applyFont="1" applyFill="1" applyAlignment="1">
      <alignment vertical="center"/>
    </xf>
    <xf numFmtId="1" fontId="9" fillId="3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top"/>
    </xf>
    <xf numFmtId="164" fontId="4" fillId="0" borderId="0" xfId="0" applyNumberFormat="1" applyFont="1" applyAlignment="1">
      <alignment horizontal="left" vertical="top"/>
    </xf>
    <xf numFmtId="49" fontId="4" fillId="0" borderId="0" xfId="0" applyNumberFormat="1" applyFont="1" applyAlignment="1">
      <alignment vertical="top"/>
    </xf>
    <xf numFmtId="1" fontId="4" fillId="0" borderId="0" xfId="0" applyNumberFormat="1" applyFont="1" applyAlignment="1">
      <alignment vertical="top"/>
    </xf>
    <xf numFmtId="0" fontId="4" fillId="0" borderId="0" xfId="0" applyFont="1" applyAlignment="1">
      <alignment vertical="top" wrapText="1"/>
    </xf>
    <xf numFmtId="0" fontId="8" fillId="4" borderId="12" xfId="0" applyFont="1" applyFill="1" applyBorder="1" applyAlignment="1">
      <alignment horizontal="center" vertical="top" wrapText="1"/>
    </xf>
    <xf numFmtId="49" fontId="8" fillId="4" borderId="12" xfId="0" applyNumberFormat="1" applyFont="1" applyFill="1" applyBorder="1" applyAlignment="1">
      <alignment horizontal="center" vertical="top" wrapText="1"/>
    </xf>
    <xf numFmtId="0" fontId="8" fillId="4" borderId="12" xfId="0" applyFont="1" applyFill="1" applyBorder="1" applyAlignment="1">
      <alignment horizontal="center" vertical="top"/>
    </xf>
    <xf numFmtId="4" fontId="9" fillId="4" borderId="12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8" fillId="4" borderId="13" xfId="0" applyFont="1" applyFill="1" applyBorder="1" applyAlignment="1">
      <alignment horizontal="center" vertical="top" wrapText="1"/>
    </xf>
    <xf numFmtId="49" fontId="8" fillId="4" borderId="13" xfId="0" applyNumberFormat="1" applyFont="1" applyFill="1" applyBorder="1" applyAlignment="1">
      <alignment horizontal="center" vertical="top" wrapText="1"/>
    </xf>
    <xf numFmtId="0" fontId="8" fillId="4" borderId="13" xfId="0" applyFont="1" applyFill="1" applyBorder="1" applyAlignment="1">
      <alignment horizontal="center" vertical="top"/>
    </xf>
    <xf numFmtId="0" fontId="11" fillId="0" borderId="1" xfId="0" applyFont="1" applyBorder="1" applyAlignment="1">
      <alignment vertical="center"/>
    </xf>
    <xf numFmtId="164" fontId="11" fillId="0" borderId="1" xfId="0" applyNumberFormat="1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top"/>
    </xf>
    <xf numFmtId="4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left" vertical="center"/>
    </xf>
    <xf numFmtId="4" fontId="11" fillId="0" borderId="1" xfId="0" applyNumberFormat="1" applyFont="1" applyBorder="1" applyAlignment="1">
      <alignment horizontal="left" vertical="center"/>
    </xf>
    <xf numFmtId="2" fontId="11" fillId="0" borderId="1" xfId="0" applyNumberFormat="1" applyFont="1" applyBorder="1" applyAlignment="1">
      <alignment horizontal="left" vertical="center"/>
    </xf>
    <xf numFmtId="49" fontId="11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top" wrapText="1"/>
    </xf>
    <xf numFmtId="0" fontId="9" fillId="4" borderId="12" xfId="0" applyFont="1" applyFill="1" applyBorder="1" applyAlignment="1">
      <alignment horizontal="center" vertical="top"/>
    </xf>
    <xf numFmtId="49" fontId="8" fillId="4" borderId="12" xfId="0" applyNumberFormat="1" applyFont="1" applyFill="1" applyBorder="1" applyAlignment="1">
      <alignment horizontal="center" vertical="top"/>
    </xf>
    <xf numFmtId="1" fontId="8" fillId="4" borderId="12" xfId="0" applyNumberFormat="1" applyFont="1" applyFill="1" applyBorder="1" applyAlignment="1">
      <alignment horizontal="center" vertical="top"/>
    </xf>
    <xf numFmtId="4" fontId="8" fillId="4" borderId="12" xfId="0" applyNumberFormat="1" applyFont="1" applyFill="1" applyBorder="1" applyAlignment="1">
      <alignment horizontal="center" vertical="top"/>
    </xf>
    <xf numFmtId="2" fontId="8" fillId="4" borderId="12" xfId="0" applyNumberFormat="1" applyFont="1" applyFill="1" applyBorder="1" applyAlignment="1">
      <alignment horizontal="center" vertical="top"/>
    </xf>
    <xf numFmtId="164" fontId="8" fillId="4" borderId="12" xfId="0" applyNumberFormat="1" applyFont="1" applyFill="1" applyBorder="1" applyAlignment="1">
      <alignment horizontal="center" vertical="top"/>
    </xf>
    <xf numFmtId="49" fontId="9" fillId="4" borderId="12" xfId="0" applyNumberFormat="1" applyFont="1" applyFill="1" applyBorder="1" applyAlignment="1">
      <alignment horizontal="center" vertical="top"/>
    </xf>
    <xf numFmtId="0" fontId="9" fillId="4" borderId="13" xfId="0" applyFont="1" applyFill="1" applyBorder="1" applyAlignment="1">
      <alignment horizontal="center" vertical="top"/>
    </xf>
    <xf numFmtId="49" fontId="8" fillId="4" borderId="13" xfId="0" applyNumberFormat="1" applyFont="1" applyFill="1" applyBorder="1" applyAlignment="1">
      <alignment horizontal="center" vertical="top"/>
    </xf>
    <xf numFmtId="1" fontId="8" fillId="4" borderId="13" xfId="0" applyNumberFormat="1" applyFont="1" applyFill="1" applyBorder="1" applyAlignment="1">
      <alignment horizontal="center" vertical="top"/>
    </xf>
    <xf numFmtId="4" fontId="8" fillId="4" borderId="13" xfId="0" applyNumberFormat="1" applyFont="1" applyFill="1" applyBorder="1" applyAlignment="1">
      <alignment horizontal="center" vertical="top"/>
    </xf>
    <xf numFmtId="2" fontId="8" fillId="4" borderId="13" xfId="0" applyNumberFormat="1" applyFont="1" applyFill="1" applyBorder="1" applyAlignment="1">
      <alignment horizontal="center" vertical="top"/>
    </xf>
    <xf numFmtId="164" fontId="8" fillId="4" borderId="13" xfId="0" applyNumberFormat="1" applyFont="1" applyFill="1" applyBorder="1" applyAlignment="1">
      <alignment horizontal="center" vertical="top"/>
    </xf>
    <xf numFmtId="49" fontId="9" fillId="4" borderId="13" xfId="0" applyNumberFormat="1" applyFont="1" applyFill="1" applyBorder="1" applyAlignment="1">
      <alignment horizontal="center" vertical="top"/>
    </xf>
    <xf numFmtId="0" fontId="7" fillId="0" borderId="0" xfId="0" applyFont="1" applyAlignment="1">
      <alignment horizontal="left" vertical="top"/>
    </xf>
    <xf numFmtId="0" fontId="9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top"/>
    </xf>
    <xf numFmtId="0" fontId="7" fillId="0" borderId="0" xfId="0" applyFont="1" applyAlignment="1">
      <alignment vertical="top"/>
    </xf>
    <xf numFmtId="0" fontId="8" fillId="3" borderId="0" xfId="0" applyFont="1" applyFill="1" applyAlignment="1">
      <alignment horizontal="center" vertical="top"/>
    </xf>
    <xf numFmtId="164" fontId="8" fillId="3" borderId="0" xfId="0" applyNumberFormat="1" applyFont="1" applyFill="1" applyAlignment="1">
      <alignment horizontal="center" vertical="top"/>
    </xf>
    <xf numFmtId="0" fontId="8" fillId="3" borderId="0" xfId="0" applyFont="1" applyFill="1" applyAlignment="1">
      <alignment vertical="top"/>
    </xf>
    <xf numFmtId="17" fontId="11" fillId="0" borderId="1" xfId="0" applyNumberFormat="1" applyFont="1" applyBorder="1" applyAlignment="1">
      <alignment horizontal="left" vertical="center"/>
    </xf>
    <xf numFmtId="164" fontId="4" fillId="0" borderId="0" xfId="0" applyNumberFormat="1" applyFont="1" applyAlignment="1">
      <alignment vertical="top"/>
    </xf>
    <xf numFmtId="4" fontId="8" fillId="4" borderId="12" xfId="0" applyNumberFormat="1" applyFont="1" applyFill="1" applyBorder="1" applyAlignment="1">
      <alignment vertical="top"/>
    </xf>
    <xf numFmtId="0" fontId="9" fillId="3" borderId="0" xfId="0" applyFont="1" applyFill="1" applyAlignment="1">
      <alignment vertical="top"/>
    </xf>
    <xf numFmtId="0" fontId="15" fillId="0" borderId="0" xfId="0" applyFont="1" applyAlignment="1">
      <alignment vertical="top"/>
    </xf>
    <xf numFmtId="0" fontId="11" fillId="3" borderId="1" xfId="0" applyFont="1" applyFill="1" applyBorder="1" applyAlignment="1">
      <alignment horizontal="left" vertical="center"/>
    </xf>
    <xf numFmtId="4" fontId="11" fillId="3" borderId="1" xfId="0" applyNumberFormat="1" applyFont="1" applyFill="1" applyBorder="1" applyAlignment="1">
      <alignment horizontal="right" vertical="center"/>
    </xf>
    <xf numFmtId="0" fontId="11" fillId="0" borderId="1" xfId="0" applyFont="1" applyBorder="1"/>
    <xf numFmtId="0" fontId="9" fillId="3" borderId="0" xfId="0" applyFont="1" applyFill="1" applyAlignment="1">
      <alignment horizontal="center" vertical="center"/>
    </xf>
    <xf numFmtId="14" fontId="9" fillId="4" borderId="12" xfId="0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14" fontId="9" fillId="4" borderId="13" xfId="0" applyNumberFormat="1" applyFont="1" applyFill="1" applyBorder="1" applyAlignment="1">
      <alignment horizontal="center" vertical="top" wrapText="1"/>
    </xf>
    <xf numFmtId="4" fontId="9" fillId="4" borderId="13" xfId="0" applyNumberFormat="1" applyFont="1" applyFill="1" applyBorder="1" applyAlignment="1">
      <alignment horizontal="center" vertical="top" wrapText="1"/>
    </xf>
    <xf numFmtId="14" fontId="11" fillId="0" borderId="1" xfId="0" applyNumberFormat="1" applyFont="1" applyBorder="1" applyAlignment="1">
      <alignment horizontal="left" vertical="center"/>
    </xf>
    <xf numFmtId="14" fontId="13" fillId="0" borderId="1" xfId="0" applyNumberFormat="1" applyFont="1" applyBorder="1" applyAlignment="1">
      <alignment horizontal="center" vertical="top"/>
    </xf>
    <xf numFmtId="0" fontId="11" fillId="0" borderId="0" xfId="0" applyFont="1" applyAlignment="1">
      <alignment vertical="top"/>
    </xf>
    <xf numFmtId="0" fontId="11" fillId="0" borderId="1" xfId="0" applyFont="1" applyBorder="1" applyAlignment="1">
      <alignment horizontal="left" vertical="top"/>
    </xf>
    <xf numFmtId="4" fontId="11" fillId="0" borderId="1" xfId="0" applyNumberFormat="1" applyFont="1" applyBorder="1" applyAlignment="1">
      <alignment vertical="top"/>
    </xf>
    <xf numFmtId="0" fontId="11" fillId="0" borderId="1" xfId="0" applyFont="1" applyBorder="1" applyAlignment="1">
      <alignment vertical="top"/>
    </xf>
    <xf numFmtId="4" fontId="11" fillId="0" borderId="0" xfId="0" applyNumberFormat="1" applyFont="1" applyAlignment="1">
      <alignment vertical="top"/>
    </xf>
    <xf numFmtId="14" fontId="11" fillId="0" borderId="0" xfId="0" applyNumberFormat="1" applyFont="1" applyAlignment="1">
      <alignment horizontal="left" vertical="top"/>
    </xf>
    <xf numFmtId="14" fontId="11" fillId="0" borderId="1" xfId="0" applyNumberFormat="1" applyFont="1" applyBorder="1" applyAlignment="1">
      <alignment horizontal="left" vertical="top"/>
    </xf>
    <xf numFmtId="4" fontId="9" fillId="3" borderId="0" xfId="0" applyNumberFormat="1" applyFont="1" applyFill="1" applyAlignment="1">
      <alignment vertical="center"/>
    </xf>
    <xf numFmtId="4" fontId="9" fillId="3" borderId="0" xfId="0" applyNumberFormat="1" applyFont="1" applyFill="1" applyAlignment="1">
      <alignment horizontal="center" vertical="center"/>
    </xf>
    <xf numFmtId="0" fontId="10" fillId="0" borderId="0" xfId="0" applyFont="1"/>
    <xf numFmtId="0" fontId="8" fillId="4" borderId="1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" xfId="0" quotePrefix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3" fillId="0" borderId="13" xfId="0" applyFont="1" applyBorder="1" applyAlignment="1">
      <alignment horizontal="left" vertical="center"/>
    </xf>
    <xf numFmtId="166" fontId="13" fillId="5" borderId="4" xfId="0" applyNumberFormat="1" applyFont="1" applyFill="1" applyBorder="1" applyAlignment="1">
      <alignment vertical="center"/>
    </xf>
    <xf numFmtId="166" fontId="13" fillId="5" borderId="6" xfId="0" applyNumberFormat="1" applyFont="1" applyFill="1" applyBorder="1" applyAlignment="1">
      <alignment vertical="center"/>
    </xf>
    <xf numFmtId="166" fontId="16" fillId="5" borderId="6" xfId="0" applyNumberFormat="1" applyFont="1" applyFill="1" applyBorder="1" applyAlignment="1">
      <alignment vertical="center"/>
    </xf>
    <xf numFmtId="166" fontId="17" fillId="5" borderId="6" xfId="0" applyNumberFormat="1" applyFont="1" applyFill="1" applyBorder="1" applyAlignment="1">
      <alignment vertical="center"/>
    </xf>
    <xf numFmtId="166" fontId="4" fillId="5" borderId="5" xfId="0" applyNumberFormat="1" applyFont="1" applyFill="1" applyBorder="1" applyAlignment="1">
      <alignment vertical="center"/>
    </xf>
    <xf numFmtId="0" fontId="13" fillId="0" borderId="1" xfId="0" applyFont="1" applyBorder="1" applyAlignment="1">
      <alignment horizontal="left" vertical="center" indent="1"/>
    </xf>
    <xf numFmtId="166" fontId="4" fillId="0" borderId="1" xfId="0" applyNumberFormat="1" applyFont="1" applyBorder="1" applyAlignment="1">
      <alignment vertical="center"/>
    </xf>
    <xf numFmtId="166" fontId="13" fillId="0" borderId="1" xfId="0" applyNumberFormat="1" applyFont="1" applyBorder="1" applyAlignment="1">
      <alignment vertical="center"/>
    </xf>
    <xf numFmtId="166" fontId="10" fillId="0" borderId="1" xfId="0" applyNumberFormat="1" applyFont="1" applyBorder="1" applyAlignment="1">
      <alignment vertical="center"/>
    </xf>
    <xf numFmtId="166" fontId="17" fillId="0" borderId="1" xfId="0" applyNumberFormat="1" applyFont="1" applyBorder="1" applyAlignment="1">
      <alignment vertical="center"/>
    </xf>
    <xf numFmtId="166" fontId="16" fillId="0" borderId="1" xfId="0" applyNumberFormat="1" applyFont="1" applyBorder="1" applyAlignment="1">
      <alignment vertical="center"/>
    </xf>
    <xf numFmtId="168" fontId="10" fillId="0" borderId="1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164" fontId="10" fillId="0" borderId="1" xfId="0" applyNumberFormat="1" applyFont="1" applyBorder="1" applyAlignment="1">
      <alignment horizontal="right" vertical="center"/>
    </xf>
    <xf numFmtId="14" fontId="10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vertical="center"/>
    </xf>
    <xf numFmtId="4" fontId="4" fillId="0" borderId="0" xfId="0" applyNumberFormat="1" applyFont="1" applyAlignment="1">
      <alignment vertical="center"/>
    </xf>
    <xf numFmtId="0" fontId="8" fillId="4" borderId="1" xfId="0" applyFont="1" applyFill="1" applyBorder="1" applyAlignment="1">
      <alignment horizontal="right" vertical="center"/>
    </xf>
    <xf numFmtId="166" fontId="8" fillId="4" borderId="1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9" fillId="5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8" fillId="3" borderId="0" xfId="0" applyFon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6" fontId="7" fillId="0" borderId="5" xfId="0" applyNumberFormat="1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vertical="center"/>
    </xf>
    <xf numFmtId="166" fontId="10" fillId="0" borderId="1" xfId="0" applyNumberFormat="1" applyFont="1" applyBorder="1" applyAlignment="1" applyProtection="1">
      <alignment vertical="center"/>
      <protection locked="0"/>
    </xf>
    <xf numFmtId="166" fontId="4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17" fontId="4" fillId="0" borderId="1" xfId="0" applyNumberFormat="1" applyFont="1" applyBorder="1" applyAlignment="1">
      <alignment vertical="center"/>
    </xf>
    <xf numFmtId="17" fontId="4" fillId="0" borderId="1" xfId="0" applyNumberFormat="1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left"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vertical="center" wrapText="1"/>
    </xf>
    <xf numFmtId="170" fontId="8" fillId="4" borderId="12" xfId="0" applyNumberFormat="1" applyFont="1" applyFill="1" applyBorder="1" applyAlignment="1">
      <alignment horizontal="center" vertical="center" wrapText="1"/>
    </xf>
    <xf numFmtId="165" fontId="8" fillId="4" borderId="12" xfId="0" applyNumberFormat="1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/>
    </xf>
    <xf numFmtId="171" fontId="8" fillId="4" borderId="13" xfId="0" applyNumberFormat="1" applyFont="1" applyFill="1" applyBorder="1" applyAlignment="1">
      <alignment horizontal="center" vertical="center" wrapText="1"/>
    </xf>
    <xf numFmtId="165" fontId="8" fillId="4" borderId="13" xfId="0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/>
    </xf>
    <xf numFmtId="166" fontId="4" fillId="5" borderId="6" xfId="0" applyNumberFormat="1" applyFont="1" applyFill="1" applyBorder="1" applyAlignment="1">
      <alignment vertical="center"/>
    </xf>
    <xf numFmtId="10" fontId="10" fillId="5" borderId="6" xfId="0" applyNumberFormat="1" applyFont="1" applyFill="1" applyBorder="1" applyAlignment="1">
      <alignment vertical="center" wrapText="1"/>
    </xf>
    <xf numFmtId="10" fontId="10" fillId="5" borderId="5" xfId="0" applyNumberFormat="1" applyFont="1" applyFill="1" applyBorder="1" applyAlignment="1">
      <alignment vertical="center" wrapText="1"/>
    </xf>
    <xf numFmtId="10" fontId="10" fillId="3" borderId="1" xfId="0" applyNumberFormat="1" applyFont="1" applyFill="1" applyBorder="1" applyAlignment="1">
      <alignment vertical="center" wrapText="1"/>
    </xf>
    <xf numFmtId="166" fontId="7" fillId="0" borderId="1" xfId="0" applyNumberFormat="1" applyFont="1" applyBorder="1" applyAlignment="1">
      <alignment vertical="center"/>
    </xf>
    <xf numFmtId="166" fontId="7" fillId="5" borderId="1" xfId="0" applyNumberFormat="1" applyFont="1" applyFill="1" applyBorder="1" applyAlignment="1">
      <alignment vertical="center"/>
    </xf>
    <xf numFmtId="10" fontId="8" fillId="5" borderId="1" xfId="0" applyNumberFormat="1" applyFont="1" applyFill="1" applyBorder="1" applyAlignment="1">
      <alignment vertical="center" wrapText="1"/>
    </xf>
    <xf numFmtId="10" fontId="8" fillId="0" borderId="0" xfId="0" applyNumberFormat="1" applyFont="1" applyAlignment="1">
      <alignment vertical="center" wrapText="1"/>
    </xf>
    <xf numFmtId="10" fontId="8" fillId="4" borderId="1" xfId="0" applyNumberFormat="1" applyFont="1" applyFill="1" applyBorder="1" applyAlignment="1">
      <alignment vertical="center" wrapText="1"/>
    </xf>
    <xf numFmtId="4" fontId="19" fillId="3" borderId="3" xfId="0" applyNumberFormat="1" applyFont="1" applyFill="1" applyBorder="1" applyAlignment="1">
      <alignment vertical="center"/>
    </xf>
    <xf numFmtId="0" fontId="10" fillId="3" borderId="0" xfId="0" applyFont="1" applyFill="1"/>
    <xf numFmtId="0" fontId="8" fillId="3" borderId="0" xfId="0" applyFont="1" applyFill="1" applyAlignment="1">
      <alignment horizontal="right" indent="1"/>
    </xf>
    <xf numFmtId="166" fontId="8" fillId="3" borderId="0" xfId="0" applyNumberFormat="1" applyFont="1" applyFill="1" applyAlignment="1">
      <alignment vertical="center"/>
    </xf>
    <xf numFmtId="4" fontId="4" fillId="0" borderId="0" xfId="0" applyNumberFormat="1" applyFont="1"/>
    <xf numFmtId="0" fontId="7" fillId="5" borderId="4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indent="1"/>
    </xf>
    <xf numFmtId="0" fontId="20" fillId="0" borderId="0" xfId="0" applyFont="1" applyAlignment="1">
      <alignment horizontal="center" vertical="top"/>
    </xf>
    <xf numFmtId="10" fontId="4" fillId="0" borderId="1" xfId="0" applyNumberFormat="1" applyFont="1" applyBorder="1"/>
    <xf numFmtId="10" fontId="7" fillId="4" borderId="1" xfId="0" applyNumberFormat="1" applyFont="1" applyFill="1" applyBorder="1"/>
    <xf numFmtId="4" fontId="19" fillId="0" borderId="0" xfId="0" applyNumberFormat="1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right" indent="1"/>
    </xf>
    <xf numFmtId="0" fontId="4" fillId="0" borderId="1" xfId="0" applyFont="1" applyBorder="1" applyAlignment="1">
      <alignment horizontal="left" vertical="center"/>
    </xf>
    <xf numFmtId="0" fontId="21" fillId="0" borderId="0" xfId="0" applyFont="1" applyAlignment="1">
      <alignment horizontal="center" vertical="top" wrapText="1"/>
    </xf>
    <xf numFmtId="167" fontId="8" fillId="4" borderId="1" xfId="0" applyNumberFormat="1" applyFont="1" applyFill="1" applyBorder="1" applyAlignment="1">
      <alignment horizontal="right" vertical="center"/>
    </xf>
    <xf numFmtId="4" fontId="14" fillId="0" borderId="1" xfId="0" applyNumberFormat="1" applyFont="1" applyBorder="1" applyAlignment="1">
      <alignment vertical="center"/>
    </xf>
    <xf numFmtId="166" fontId="4" fillId="0" borderId="1" xfId="0" applyNumberFormat="1" applyFont="1" applyBorder="1" applyAlignment="1">
      <alignment horizontal="right" vertical="center"/>
    </xf>
    <xf numFmtId="10" fontId="4" fillId="0" borderId="1" xfId="0" applyNumberFormat="1" applyFont="1" applyBorder="1" applyAlignment="1">
      <alignment vertical="center"/>
    </xf>
    <xf numFmtId="167" fontId="4" fillId="0" borderId="0" xfId="0" applyNumberFormat="1" applyFont="1" applyAlignment="1">
      <alignment vertical="center"/>
    </xf>
    <xf numFmtId="168" fontId="4" fillId="0" borderId="0" xfId="0" applyNumberFormat="1" applyFont="1" applyAlignment="1">
      <alignment vertical="center"/>
    </xf>
    <xf numFmtId="167" fontId="8" fillId="4" borderId="12" xfId="0" applyNumberFormat="1" applyFont="1" applyFill="1" applyBorder="1" applyAlignment="1">
      <alignment horizontal="center" vertical="center"/>
    </xf>
    <xf numFmtId="168" fontId="8" fillId="4" borderId="12" xfId="0" applyNumberFormat="1" applyFont="1" applyFill="1" applyBorder="1" applyAlignment="1">
      <alignment horizontal="center" vertical="center"/>
    </xf>
    <xf numFmtId="10" fontId="8" fillId="4" borderId="12" xfId="0" applyNumberFormat="1" applyFont="1" applyFill="1" applyBorder="1" applyAlignment="1">
      <alignment horizontal="center" vertical="center"/>
    </xf>
    <xf numFmtId="167" fontId="8" fillId="4" borderId="13" xfId="0" applyNumberFormat="1" applyFont="1" applyFill="1" applyBorder="1" applyAlignment="1">
      <alignment horizontal="center" vertical="center"/>
    </xf>
    <xf numFmtId="168" fontId="8" fillId="4" borderId="13" xfId="0" applyNumberFormat="1" applyFont="1" applyFill="1" applyBorder="1" applyAlignment="1">
      <alignment horizontal="center" vertical="center"/>
    </xf>
    <xf numFmtId="10" fontId="8" fillId="4" borderId="13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21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17" fontId="7" fillId="0" borderId="0" xfId="0" applyNumberFormat="1" applyFont="1" applyAlignment="1">
      <alignment horizontal="right" vertical="center"/>
    </xf>
    <xf numFmtId="166" fontId="7" fillId="0" borderId="0" xfId="0" applyNumberFormat="1" applyFont="1"/>
    <xf numFmtId="166" fontId="4" fillId="0" borderId="1" xfId="0" applyNumberFormat="1" applyFont="1" applyBorder="1"/>
    <xf numFmtId="0" fontId="4" fillId="0" borderId="1" xfId="0" applyFont="1" applyBorder="1" applyAlignment="1">
      <alignment vertical="center"/>
    </xf>
    <xf numFmtId="166" fontId="4" fillId="3" borderId="1" xfId="0" applyNumberFormat="1" applyFont="1" applyFill="1" applyBorder="1" applyAlignment="1">
      <alignment vertical="center"/>
    </xf>
    <xf numFmtId="0" fontId="4" fillId="0" borderId="1" xfId="0" applyFont="1" applyBorder="1"/>
    <xf numFmtId="0" fontId="10" fillId="0" borderId="1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8" fillId="3" borderId="0" xfId="0" applyFont="1" applyFill="1" applyAlignment="1">
      <alignment horizontal="right" vertical="center"/>
    </xf>
    <xf numFmtId="0" fontId="9" fillId="4" borderId="1" xfId="0" applyFont="1" applyFill="1" applyBorder="1" applyAlignment="1">
      <alignment horizontal="center" vertical="center"/>
    </xf>
    <xf numFmtId="14" fontId="8" fillId="4" borderId="1" xfId="0" quotePrefix="1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166" fontId="4" fillId="5" borderId="4" xfId="0" applyNumberFormat="1" applyFont="1" applyFill="1" applyBorder="1" applyAlignment="1">
      <alignment vertical="center"/>
    </xf>
    <xf numFmtId="166" fontId="7" fillId="5" borderId="4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6" fontId="11" fillId="3" borderId="1" xfId="0" applyNumberFormat="1" applyFont="1" applyFill="1" applyBorder="1" applyAlignment="1">
      <alignment vertical="center"/>
    </xf>
    <xf numFmtId="166" fontId="9" fillId="3" borderId="1" xfId="0" applyNumberFormat="1" applyFont="1" applyFill="1" applyBorder="1" applyAlignment="1">
      <alignment vertical="center"/>
    </xf>
    <xf numFmtId="166" fontId="9" fillId="4" borderId="1" xfId="0" applyNumberFormat="1" applyFont="1" applyFill="1" applyBorder="1" applyAlignment="1">
      <alignment vertical="center"/>
    </xf>
    <xf numFmtId="0" fontId="7" fillId="5" borderId="1" xfId="0" applyFont="1" applyFill="1" applyBorder="1" applyAlignment="1">
      <alignment horizontal="left" vertical="center"/>
    </xf>
    <xf numFmtId="0" fontId="13" fillId="0" borderId="0" xfId="0" applyFont="1" applyAlignment="1">
      <alignment vertical="top"/>
    </xf>
    <xf numFmtId="4" fontId="4" fillId="0" borderId="0" xfId="0" applyNumberFormat="1" applyFont="1" applyAlignment="1">
      <alignment vertical="top"/>
    </xf>
    <xf numFmtId="0" fontId="22" fillId="0" borderId="0" xfId="0" applyFont="1" applyAlignment="1">
      <alignment vertical="top"/>
    </xf>
    <xf numFmtId="0" fontId="8" fillId="4" borderId="1" xfId="0" applyFont="1" applyFill="1" applyBorder="1" applyAlignment="1">
      <alignment horizontal="center" vertical="center" wrapText="1"/>
    </xf>
    <xf numFmtId="49" fontId="8" fillId="4" borderId="12" xfId="0" applyNumberFormat="1" applyFont="1" applyFill="1" applyBorder="1" applyAlignment="1">
      <alignment horizontal="center" vertical="center" wrapText="1"/>
    </xf>
    <xf numFmtId="4" fontId="8" fillId="4" borderId="12" xfId="0" applyNumberFormat="1" applyFont="1" applyFill="1" applyBorder="1" applyAlignment="1">
      <alignment horizontal="center" vertical="center" wrapText="1"/>
    </xf>
    <xf numFmtId="4" fontId="8" fillId="4" borderId="12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vertical="top" wrapText="1"/>
    </xf>
    <xf numFmtId="1" fontId="8" fillId="4" borderId="13" xfId="0" applyNumberFormat="1" applyFont="1" applyFill="1" applyBorder="1" applyAlignment="1">
      <alignment horizontal="center" vertical="center" wrapText="1"/>
    </xf>
    <xf numFmtId="4" fontId="8" fillId="4" borderId="13" xfId="0" applyNumberFormat="1" applyFont="1" applyFill="1" applyBorder="1" applyAlignment="1">
      <alignment horizontal="center" vertical="center" wrapText="1"/>
    </xf>
    <xf numFmtId="4" fontId="8" fillId="4" borderId="13" xfId="0" applyNumberFormat="1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vertical="top" wrapText="1"/>
    </xf>
    <xf numFmtId="172" fontId="4" fillId="0" borderId="1" xfId="0" applyNumberFormat="1" applyFont="1" applyBorder="1" applyAlignment="1" applyProtection="1">
      <alignment horizontal="right" vertical="center"/>
      <protection locked="0"/>
    </xf>
    <xf numFmtId="172" fontId="4" fillId="0" borderId="1" xfId="0" applyNumberFormat="1" applyFont="1" applyBorder="1" applyAlignment="1">
      <alignment vertical="center"/>
    </xf>
    <xf numFmtId="169" fontId="4" fillId="0" borderId="1" xfId="0" applyNumberFormat="1" applyFont="1" applyBorder="1" applyAlignment="1">
      <alignment vertical="center"/>
    </xf>
    <xf numFmtId="169" fontId="4" fillId="0" borderId="1" xfId="0" applyNumberFormat="1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72" fontId="4" fillId="0" borderId="6" xfId="0" applyNumberFormat="1" applyFont="1" applyBorder="1" applyAlignment="1" applyProtection="1">
      <alignment vertical="center"/>
      <protection locked="0"/>
    </xf>
    <xf numFmtId="172" fontId="4" fillId="0" borderId="6" xfId="0" applyNumberFormat="1" applyFont="1" applyBorder="1" applyAlignment="1">
      <alignment vertical="center"/>
    </xf>
    <xf numFmtId="169" fontId="4" fillId="0" borderId="6" xfId="0" applyNumberFormat="1" applyFont="1" applyBorder="1" applyAlignment="1">
      <alignment vertical="center"/>
    </xf>
    <xf numFmtId="169" fontId="4" fillId="0" borderId="6" xfId="0" applyNumberFormat="1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>
      <alignment vertical="center" wrapText="1"/>
    </xf>
    <xf numFmtId="17" fontId="8" fillId="4" borderId="1" xfId="0" applyNumberFormat="1" applyFont="1" applyFill="1" applyBorder="1" applyAlignment="1">
      <alignment horizontal="center" vertical="top"/>
    </xf>
    <xf numFmtId="17" fontId="8" fillId="4" borderId="1" xfId="0" applyNumberFormat="1" applyFont="1" applyFill="1" applyBorder="1" applyAlignment="1">
      <alignment horizontal="center" vertical="top" wrapText="1"/>
    </xf>
    <xf numFmtId="0" fontId="23" fillId="0" borderId="1" xfId="0" applyFont="1" applyBorder="1" applyAlignment="1">
      <alignment vertical="top"/>
    </xf>
    <xf numFmtId="2" fontId="23" fillId="0" borderId="1" xfId="0" applyNumberFormat="1" applyFont="1" applyBorder="1" applyAlignment="1">
      <alignment vertical="top"/>
    </xf>
    <xf numFmtId="0" fontId="8" fillId="5" borderId="1" xfId="0" applyFont="1" applyFill="1" applyBorder="1" applyAlignment="1">
      <alignment horizontal="right" vertical="center" indent="1"/>
    </xf>
    <xf numFmtId="14" fontId="11" fillId="0" borderId="1" xfId="0" applyNumberFormat="1" applyFont="1" applyBorder="1" applyAlignment="1">
      <alignment vertical="center"/>
    </xf>
    <xf numFmtId="166" fontId="7" fillId="3" borderId="4" xfId="0" applyNumberFormat="1" applyFont="1" applyFill="1" applyBorder="1" applyAlignment="1">
      <alignment vertical="center"/>
    </xf>
    <xf numFmtId="1" fontId="10" fillId="0" borderId="1" xfId="0" applyNumberFormat="1" applyFont="1" applyBorder="1" applyAlignment="1">
      <alignment horizontal="left" vertical="top"/>
    </xf>
    <xf numFmtId="14" fontId="23" fillId="0" borderId="1" xfId="0" applyNumberFormat="1" applyFont="1" applyBorder="1" applyAlignment="1">
      <alignment horizontal="left" vertical="top"/>
    </xf>
    <xf numFmtId="166" fontId="12" fillId="0" borderId="0" xfId="0" applyNumberFormat="1" applyFont="1" applyAlignment="1">
      <alignment vertical="center"/>
    </xf>
    <xf numFmtId="166" fontId="4" fillId="0" borderId="0" xfId="0" applyNumberFormat="1" applyFont="1" applyAlignment="1">
      <alignment horizontal="center" vertical="center"/>
    </xf>
    <xf numFmtId="10" fontId="4" fillId="6" borderId="1" xfId="0" applyNumberFormat="1" applyFont="1" applyFill="1" applyBorder="1" applyAlignment="1">
      <alignment vertical="center"/>
    </xf>
    <xf numFmtId="10" fontId="4" fillId="3" borderId="1" xfId="0" applyNumberFormat="1" applyFont="1" applyFill="1" applyBorder="1" applyAlignment="1">
      <alignment vertical="center"/>
    </xf>
    <xf numFmtId="0" fontId="11" fillId="0" borderId="0" xfId="0" applyFont="1" applyAlignment="1">
      <alignment horizontal="left" vertical="top"/>
    </xf>
    <xf numFmtId="14" fontId="11" fillId="6" borderId="1" xfId="0" applyNumberFormat="1" applyFont="1" applyFill="1" applyBorder="1" applyAlignment="1">
      <alignment horizontal="left" vertical="top"/>
    </xf>
    <xf numFmtId="0" fontId="11" fillId="6" borderId="1" xfId="0" applyFont="1" applyFill="1" applyBorder="1" applyAlignment="1">
      <alignment vertical="top"/>
    </xf>
    <xf numFmtId="4" fontId="11" fillId="6" borderId="1" xfId="0" applyNumberFormat="1" applyFont="1" applyFill="1" applyBorder="1" applyAlignment="1">
      <alignment vertical="top"/>
    </xf>
    <xf numFmtId="14" fontId="23" fillId="6" borderId="1" xfId="0" applyNumberFormat="1" applyFont="1" applyFill="1" applyBorder="1" applyAlignment="1">
      <alignment horizontal="left" vertical="top"/>
    </xf>
    <xf numFmtId="0" fontId="23" fillId="6" borderId="1" xfId="0" applyFont="1" applyFill="1" applyBorder="1" applyAlignment="1">
      <alignment vertical="top"/>
    </xf>
    <xf numFmtId="2" fontId="23" fillId="6" borderId="1" xfId="0" applyNumberFormat="1" applyFont="1" applyFill="1" applyBorder="1" applyAlignment="1">
      <alignment vertical="top"/>
    </xf>
    <xf numFmtId="166" fontId="4" fillId="0" borderId="0" xfId="0" applyNumberFormat="1" applyFont="1"/>
    <xf numFmtId="0" fontId="24" fillId="3" borderId="0" xfId="0" applyFont="1" applyFill="1" applyAlignment="1">
      <alignment vertical="center"/>
    </xf>
    <xf numFmtId="0" fontId="25" fillId="0" borderId="0" xfId="0" applyFont="1"/>
    <xf numFmtId="0" fontId="25" fillId="0" borderId="0" xfId="0" applyFont="1" applyAlignment="1">
      <alignment vertical="center"/>
    </xf>
    <xf numFmtId="0" fontId="24" fillId="0" borderId="0" xfId="0" applyFont="1" applyAlignment="1">
      <alignment vertical="top"/>
    </xf>
    <xf numFmtId="1" fontId="4" fillId="7" borderId="1" xfId="0" applyNumberFormat="1" applyFont="1" applyFill="1" applyBorder="1" applyAlignment="1">
      <alignment horizontal="left" vertical="top"/>
    </xf>
    <xf numFmtId="4" fontId="4" fillId="7" borderId="1" xfId="0" applyNumberFormat="1" applyFont="1" applyFill="1" applyBorder="1" applyAlignment="1">
      <alignment horizontal="right" vertical="top"/>
    </xf>
    <xf numFmtId="4" fontId="7" fillId="7" borderId="1" xfId="0" applyNumberFormat="1" applyFont="1" applyFill="1" applyBorder="1" applyAlignment="1">
      <alignment horizontal="right" vertical="top"/>
    </xf>
    <xf numFmtId="17" fontId="11" fillId="3" borderId="1" xfId="0" applyNumberFormat="1" applyFont="1" applyFill="1" applyBorder="1" applyAlignment="1">
      <alignment horizontal="left" vertical="center"/>
    </xf>
    <xf numFmtId="0" fontId="11" fillId="3" borderId="1" xfId="0" applyFont="1" applyFill="1" applyBorder="1" applyAlignment="1">
      <alignment vertical="center"/>
    </xf>
    <xf numFmtId="14" fontId="11" fillId="8" borderId="1" xfId="0" applyNumberFormat="1" applyFont="1" applyFill="1" applyBorder="1" applyAlignment="1">
      <alignment vertical="center"/>
    </xf>
    <xf numFmtId="164" fontId="11" fillId="8" borderId="1" xfId="0" applyNumberFormat="1" applyFont="1" applyFill="1" applyBorder="1" applyAlignment="1">
      <alignment horizontal="left" vertical="center"/>
    </xf>
    <xf numFmtId="49" fontId="11" fillId="8" borderId="1" xfId="0" applyNumberFormat="1" applyFont="1" applyFill="1" applyBorder="1" applyAlignment="1">
      <alignment horizontal="left" vertical="center"/>
    </xf>
    <xf numFmtId="0" fontId="11" fillId="8" borderId="1" xfId="0" applyFont="1" applyFill="1" applyBorder="1" applyAlignment="1">
      <alignment vertical="center"/>
    </xf>
    <xf numFmtId="1" fontId="4" fillId="8" borderId="1" xfId="0" applyNumberFormat="1" applyFont="1" applyFill="1" applyBorder="1" applyAlignment="1">
      <alignment horizontal="left" vertical="top"/>
    </xf>
    <xf numFmtId="4" fontId="11" fillId="8" borderId="1" xfId="0" applyNumberFormat="1" applyFont="1" applyFill="1" applyBorder="1" applyAlignment="1">
      <alignment horizontal="right" vertical="center"/>
    </xf>
    <xf numFmtId="0" fontId="11" fillId="8" borderId="1" xfId="0" applyFont="1" applyFill="1" applyBorder="1" applyAlignment="1">
      <alignment horizontal="left" vertical="center"/>
    </xf>
    <xf numFmtId="4" fontId="11" fillId="8" borderId="1" xfId="0" applyNumberFormat="1" applyFont="1" applyFill="1" applyBorder="1" applyAlignment="1">
      <alignment horizontal="left" vertical="center"/>
    </xf>
    <xf numFmtId="2" fontId="11" fillId="8" borderId="1" xfId="0" applyNumberFormat="1" applyFont="1" applyFill="1" applyBorder="1" applyAlignment="1">
      <alignment horizontal="left" vertical="center"/>
    </xf>
    <xf numFmtId="17" fontId="11" fillId="8" borderId="1" xfId="0" applyNumberFormat="1" applyFont="1" applyFill="1" applyBorder="1" applyAlignment="1">
      <alignment horizontal="left" vertical="center"/>
    </xf>
    <xf numFmtId="0" fontId="4" fillId="3" borderId="0" xfId="0" applyFont="1" applyFill="1" applyAlignment="1">
      <alignment vertical="top"/>
    </xf>
    <xf numFmtId="4" fontId="7" fillId="8" borderId="1" xfId="0" applyNumberFormat="1" applyFont="1" applyFill="1" applyBorder="1" applyAlignment="1">
      <alignment horizontal="right" vertical="top"/>
    </xf>
    <xf numFmtId="164" fontId="11" fillId="3" borderId="1" xfId="0" applyNumberFormat="1" applyFont="1" applyFill="1" applyBorder="1" applyAlignment="1">
      <alignment horizontal="left" vertical="center"/>
    </xf>
    <xf numFmtId="0" fontId="26" fillId="8" borderId="1" xfId="0" applyFont="1" applyFill="1" applyBorder="1" applyAlignment="1">
      <alignment vertical="center"/>
    </xf>
    <xf numFmtId="14" fontId="13" fillId="8" borderId="1" xfId="0" applyNumberFormat="1" applyFont="1" applyFill="1" applyBorder="1" applyAlignment="1">
      <alignment vertical="center"/>
    </xf>
    <xf numFmtId="164" fontId="13" fillId="8" borderId="1" xfId="0" applyNumberFormat="1" applyFont="1" applyFill="1" applyBorder="1" applyAlignment="1">
      <alignment horizontal="left" vertical="center"/>
    </xf>
    <xf numFmtId="49" fontId="13" fillId="8" borderId="1" xfId="0" applyNumberFormat="1" applyFont="1" applyFill="1" applyBorder="1" applyAlignment="1">
      <alignment horizontal="left" vertical="center"/>
    </xf>
    <xf numFmtId="0" fontId="13" fillId="8" borderId="1" xfId="0" applyFont="1" applyFill="1" applyBorder="1" applyAlignment="1">
      <alignment vertical="center"/>
    </xf>
    <xf numFmtId="1" fontId="10" fillId="8" borderId="1" xfId="0" applyNumberFormat="1" applyFont="1" applyFill="1" applyBorder="1" applyAlignment="1">
      <alignment horizontal="left" vertical="top"/>
    </xf>
    <xf numFmtId="4" fontId="13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top"/>
    </xf>
    <xf numFmtId="0" fontId="13" fillId="8" borderId="1" xfId="0" applyFont="1" applyFill="1" applyBorder="1" applyAlignment="1">
      <alignment horizontal="left" vertical="center"/>
    </xf>
    <xf numFmtId="4" fontId="13" fillId="8" borderId="1" xfId="0" applyNumberFormat="1" applyFont="1" applyFill="1" applyBorder="1" applyAlignment="1">
      <alignment horizontal="left" vertical="center"/>
    </xf>
    <xf numFmtId="2" fontId="13" fillId="8" borderId="1" xfId="0" applyNumberFormat="1" applyFont="1" applyFill="1" applyBorder="1" applyAlignment="1">
      <alignment horizontal="left" vertical="center"/>
    </xf>
    <xf numFmtId="0" fontId="4" fillId="8" borderId="0" xfId="0" applyFont="1" applyFill="1" applyAlignment="1">
      <alignment vertical="top"/>
    </xf>
    <xf numFmtId="4" fontId="4" fillId="8" borderId="1" xfId="0" applyNumberFormat="1" applyFont="1" applyFill="1" applyBorder="1" applyAlignment="1">
      <alignment horizontal="right" vertical="top"/>
    </xf>
    <xf numFmtId="49" fontId="11" fillId="8" borderId="1" xfId="0" applyNumberFormat="1" applyFont="1" applyFill="1" applyBorder="1" applyAlignment="1">
      <alignment vertical="center"/>
    </xf>
    <xf numFmtId="14" fontId="11" fillId="5" borderId="1" xfId="0" applyNumberFormat="1" applyFont="1" applyFill="1" applyBorder="1" applyAlignment="1">
      <alignment vertical="center"/>
    </xf>
    <xf numFmtId="164" fontId="11" fillId="5" borderId="1" xfId="0" applyNumberFormat="1" applyFont="1" applyFill="1" applyBorder="1" applyAlignment="1">
      <alignment horizontal="left" vertical="center"/>
    </xf>
    <xf numFmtId="49" fontId="11" fillId="5" borderId="1" xfId="0" applyNumberFormat="1" applyFont="1" applyFill="1" applyBorder="1" applyAlignment="1">
      <alignment horizontal="left" vertical="center"/>
    </xf>
    <xf numFmtId="0" fontId="11" fillId="5" borderId="1" xfId="0" applyFont="1" applyFill="1" applyBorder="1" applyAlignment="1">
      <alignment vertical="center"/>
    </xf>
    <xf numFmtId="1" fontId="4" fillId="5" borderId="1" xfId="0" applyNumberFormat="1" applyFont="1" applyFill="1" applyBorder="1" applyAlignment="1">
      <alignment horizontal="left" vertical="top"/>
    </xf>
    <xf numFmtId="4" fontId="11" fillId="5" borderId="1" xfId="0" applyNumberFormat="1" applyFont="1" applyFill="1" applyBorder="1" applyAlignment="1">
      <alignment horizontal="right" vertical="center"/>
    </xf>
    <xf numFmtId="4" fontId="7" fillId="5" borderId="1" xfId="0" applyNumberFormat="1" applyFont="1" applyFill="1" applyBorder="1" applyAlignment="1">
      <alignment horizontal="right" vertical="top"/>
    </xf>
    <xf numFmtId="0" fontId="11" fillId="5" borderId="1" xfId="0" applyFont="1" applyFill="1" applyBorder="1" applyAlignment="1">
      <alignment horizontal="left" vertical="center"/>
    </xf>
    <xf numFmtId="4" fontId="11" fillId="5" borderId="1" xfId="0" applyNumberFormat="1" applyFont="1" applyFill="1" applyBorder="1" applyAlignment="1">
      <alignment horizontal="left" vertical="center"/>
    </xf>
    <xf numFmtId="2" fontId="11" fillId="5" borderId="1" xfId="0" applyNumberFormat="1" applyFont="1" applyFill="1" applyBorder="1" applyAlignment="1">
      <alignment horizontal="left" vertical="center"/>
    </xf>
    <xf numFmtId="49" fontId="11" fillId="5" borderId="1" xfId="0" applyNumberFormat="1" applyFont="1" applyFill="1" applyBorder="1" applyAlignment="1">
      <alignment vertical="center"/>
    </xf>
    <xf numFmtId="14" fontId="11" fillId="3" borderId="1" xfId="0" applyNumberFormat="1" applyFont="1" applyFill="1" applyBorder="1" applyAlignment="1">
      <alignment vertical="center"/>
    </xf>
    <xf numFmtId="49" fontId="11" fillId="3" borderId="1" xfId="0" applyNumberFormat="1" applyFont="1" applyFill="1" applyBorder="1" applyAlignment="1">
      <alignment horizontal="left" vertical="center"/>
    </xf>
    <xf numFmtId="1" fontId="4" fillId="3" borderId="1" xfId="0" applyNumberFormat="1" applyFont="1" applyFill="1" applyBorder="1" applyAlignment="1">
      <alignment horizontal="left" vertical="top"/>
    </xf>
    <xf numFmtId="4" fontId="7" fillId="3" borderId="1" xfId="0" applyNumberFormat="1" applyFont="1" applyFill="1" applyBorder="1" applyAlignment="1">
      <alignment horizontal="right" vertical="top"/>
    </xf>
    <xf numFmtId="4" fontId="11" fillId="3" borderId="1" xfId="0" applyNumberFormat="1" applyFont="1" applyFill="1" applyBorder="1" applyAlignment="1">
      <alignment horizontal="left" vertical="center"/>
    </xf>
    <xf numFmtId="2" fontId="11" fillId="3" borderId="1" xfId="0" applyNumberFormat="1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center" vertical="top"/>
    </xf>
    <xf numFmtId="0" fontId="8" fillId="4" borderId="6" xfId="0" applyFont="1" applyFill="1" applyBorder="1" applyAlignment="1">
      <alignment horizontal="center" vertical="top"/>
    </xf>
    <xf numFmtId="0" fontId="8" fillId="4" borderId="5" xfId="0" applyFont="1" applyFill="1" applyBorder="1" applyAlignment="1">
      <alignment horizontal="center" vertical="top"/>
    </xf>
    <xf numFmtId="4" fontId="9" fillId="4" borderId="12" xfId="0" applyNumberFormat="1" applyFont="1" applyFill="1" applyBorder="1" applyAlignment="1">
      <alignment horizontal="center" vertical="center" wrapText="1"/>
    </xf>
    <xf numFmtId="4" fontId="9" fillId="4" borderId="1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4" fontId="8" fillId="4" borderId="1" xfId="0" applyNumberFormat="1" applyFont="1" applyFill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8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165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quotePrefix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 indent="1"/>
    </xf>
    <xf numFmtId="0" fontId="7" fillId="0" borderId="11" xfId="0" applyFont="1" applyBorder="1" applyAlignment="1">
      <alignment horizontal="right" vertical="top" indent="1"/>
    </xf>
    <xf numFmtId="0" fontId="7" fillId="0" borderId="0" xfId="0" applyFont="1" applyAlignment="1">
      <alignment horizontal="right" vertical="top" indent="1"/>
    </xf>
    <xf numFmtId="0" fontId="8" fillId="4" borderId="8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14" fontId="8" fillId="4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6">
    <dxf>
      <font>
        <b/>
        <i val="0"/>
        <color theme="0"/>
      </font>
      <fill>
        <patternFill>
          <bgColor rgb="FFFF0000"/>
        </patternFill>
      </fill>
      <border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0"/>
      </font>
      <fill>
        <patternFill>
          <bgColor rgb="FFFF0000"/>
        </patternFill>
      </fill>
      <border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0"/>
      </font>
      <fill>
        <patternFill>
          <bgColor rgb="FFFF0000"/>
        </patternFill>
      </fill>
      <border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rgb="FF00B050"/>
      </font>
    </dxf>
    <dxf>
      <font>
        <b/>
        <i val="0"/>
        <color rgb="FFFF0000"/>
      </font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  <pageSetUpPr fitToPage="1"/>
  </sheetPr>
  <dimension ref="A1:T59"/>
  <sheetViews>
    <sheetView showGridLines="0" tabSelected="1" zoomScale="144" zoomScaleNormal="144" workbookViewId="0">
      <pane ySplit="5" topLeftCell="A21" activePane="bottomLeft" state="frozen"/>
      <selection pane="bottomLeft" sqref="A1:XFD1048576"/>
    </sheetView>
  </sheetViews>
  <sheetFormatPr defaultColWidth="8.81640625" defaultRowHeight="13" x14ac:dyDescent="0.35"/>
  <cols>
    <col min="1" max="1" width="2.1796875" style="94" customWidth="1"/>
    <col min="2" max="2" width="15" style="99" customWidth="1"/>
    <col min="3" max="3" width="38.1796875" style="94" bestFit="1" customWidth="1"/>
    <col min="4" max="4" width="27.1796875" style="94" bestFit="1" customWidth="1"/>
    <col min="5" max="5" width="9.81640625" style="98" bestFit="1" customWidth="1"/>
    <col min="6" max="6" width="9.81640625" style="98" customWidth="1"/>
    <col min="7" max="7" width="7.81640625" style="94" customWidth="1"/>
    <col min="8" max="8" width="3.81640625" style="94" customWidth="1"/>
    <col min="9" max="9" width="17.54296875" style="94" bestFit="1" customWidth="1"/>
    <col min="10" max="10" width="9.81640625" style="94" bestFit="1" customWidth="1"/>
    <col min="11" max="16384" width="8.81640625" style="94"/>
  </cols>
  <sheetData>
    <row r="1" spans="2:20" s="83" customFormat="1" x14ac:dyDescent="0.35">
      <c r="B1" s="73" t="str">
        <f>SETUP!C4&amp;" Parish Council"</f>
        <v>Barnton Parish Council</v>
      </c>
      <c r="C1" s="30"/>
      <c r="D1" s="30"/>
      <c r="E1" s="101"/>
      <c r="F1" s="101"/>
      <c r="G1" s="30"/>
      <c r="I1" s="30"/>
      <c r="J1" s="30"/>
      <c r="K1" s="82"/>
      <c r="L1" s="82"/>
      <c r="M1" s="82"/>
      <c r="N1" s="82"/>
      <c r="O1" s="82"/>
      <c r="P1" s="82"/>
      <c r="Q1" s="82"/>
      <c r="R1" s="82"/>
      <c r="S1" s="82"/>
      <c r="T1" s="82"/>
    </row>
    <row r="2" spans="2:20" s="83" customFormat="1" x14ac:dyDescent="0.35">
      <c r="B2" s="73" t="s">
        <v>107</v>
      </c>
      <c r="C2" s="87"/>
      <c r="D2" s="87"/>
      <c r="E2" s="102"/>
      <c r="F2" s="102"/>
      <c r="G2" s="87"/>
      <c r="I2" s="87"/>
      <c r="J2" s="87"/>
      <c r="K2" s="82"/>
      <c r="L2" s="82"/>
      <c r="M2" s="82"/>
      <c r="N2" s="82"/>
      <c r="O2" s="82"/>
      <c r="P2" s="82"/>
      <c r="Q2" s="82"/>
      <c r="R2" s="82"/>
      <c r="S2" s="82"/>
      <c r="T2" s="82"/>
    </row>
    <row r="4" spans="2:20" s="89" customFormat="1" ht="26" x14ac:dyDescent="0.35">
      <c r="B4" s="88" t="s">
        <v>71</v>
      </c>
      <c r="C4" s="58" t="s">
        <v>14</v>
      </c>
      <c r="D4" s="58" t="s">
        <v>15</v>
      </c>
      <c r="E4" s="41" t="s">
        <v>2</v>
      </c>
      <c r="F4" s="41" t="s">
        <v>254</v>
      </c>
      <c r="G4" s="88" t="s">
        <v>126</v>
      </c>
      <c r="I4" s="323" t="s">
        <v>64</v>
      </c>
      <c r="J4" s="41" t="s">
        <v>2</v>
      </c>
    </row>
    <row r="5" spans="2:20" s="89" customFormat="1" x14ac:dyDescent="0.35">
      <c r="B5" s="90" t="s">
        <v>12</v>
      </c>
      <c r="C5" s="65"/>
      <c r="D5" s="65"/>
      <c r="E5" s="91" t="s">
        <v>111</v>
      </c>
      <c r="F5" s="91"/>
      <c r="G5" s="90" t="s">
        <v>12</v>
      </c>
      <c r="I5" s="324"/>
      <c r="J5" s="91" t="s">
        <v>111</v>
      </c>
    </row>
    <row r="6" spans="2:20" x14ac:dyDescent="0.3">
      <c r="B6" s="92"/>
      <c r="C6" s="46"/>
      <c r="D6" s="86" t="s">
        <v>193</v>
      </c>
      <c r="E6" s="50">
        <v>1</v>
      </c>
      <c r="F6" s="50">
        <v>1</v>
      </c>
      <c r="G6" s="93"/>
      <c r="I6" s="95" t="s">
        <v>16</v>
      </c>
      <c r="J6" s="96">
        <f>SUMIF($G:$G,"="&amp;"",E:E)</f>
        <v>541010</v>
      </c>
      <c r="K6" s="270" t="s">
        <v>265</v>
      </c>
    </row>
    <row r="7" spans="2:20" x14ac:dyDescent="0.35">
      <c r="B7" s="100"/>
      <c r="C7" s="97"/>
      <c r="D7" s="97" t="s">
        <v>193</v>
      </c>
      <c r="E7" s="96">
        <v>1</v>
      </c>
      <c r="F7" s="96">
        <v>1</v>
      </c>
      <c r="G7" s="97"/>
      <c r="I7" s="95" t="str">
        <f>"Additions in "&amp;SETUP!C13</f>
        <v>Additions in 2026-27</v>
      </c>
      <c r="J7" s="96">
        <f>SUMIFS(E:E,$B:$B,"&gt;="&amp;SETUP!$C$10,$B:$B,"&lt;="&amp;SETUP!$C$11)</f>
        <v>0</v>
      </c>
    </row>
    <row r="8" spans="2:20" x14ac:dyDescent="0.35">
      <c r="B8" s="100"/>
      <c r="C8" s="97"/>
      <c r="D8" s="97" t="s">
        <v>194</v>
      </c>
      <c r="E8" s="96">
        <v>1</v>
      </c>
      <c r="F8" s="96">
        <v>1</v>
      </c>
      <c r="G8" s="97"/>
      <c r="I8" s="95" t="str">
        <f>"Disposals in "&amp;SETUP!C13</f>
        <v>Disposals in 2026-27</v>
      </c>
      <c r="J8" s="96">
        <f>SUMIFS(E:E,$G:$G,"&gt;="&amp;SETUP!$C$10,$G:$G,"&lt;="&amp;SETUP!$C$11)</f>
        <v>0</v>
      </c>
    </row>
    <row r="9" spans="2:20" x14ac:dyDescent="0.35">
      <c r="B9" s="100"/>
      <c r="C9" s="97"/>
      <c r="D9" s="97" t="s">
        <v>195</v>
      </c>
      <c r="E9" s="96">
        <v>1</v>
      </c>
      <c r="F9" s="96">
        <v>1</v>
      </c>
      <c r="G9" s="97"/>
    </row>
    <row r="10" spans="2:20" x14ac:dyDescent="0.35">
      <c r="B10" s="100"/>
      <c r="C10" s="97"/>
      <c r="D10" s="97" t="s">
        <v>196</v>
      </c>
      <c r="E10" s="96">
        <v>1</v>
      </c>
      <c r="F10" s="96">
        <v>1</v>
      </c>
      <c r="G10" s="97"/>
      <c r="J10" s="98"/>
    </row>
    <row r="11" spans="2:20" x14ac:dyDescent="0.35">
      <c r="B11" s="100"/>
      <c r="C11" s="97"/>
      <c r="D11" s="97" t="s">
        <v>197</v>
      </c>
      <c r="E11" s="96">
        <v>1</v>
      </c>
      <c r="F11" s="96">
        <v>1</v>
      </c>
      <c r="G11" s="97"/>
      <c r="J11" s="98"/>
    </row>
    <row r="12" spans="2:20" x14ac:dyDescent="0.35">
      <c r="B12" s="100"/>
      <c r="C12" s="97"/>
      <c r="D12" s="97" t="s">
        <v>198</v>
      </c>
      <c r="E12" s="96">
        <v>1</v>
      </c>
      <c r="F12" s="96">
        <v>3000</v>
      </c>
      <c r="G12" s="97"/>
      <c r="J12" s="98"/>
    </row>
    <row r="13" spans="2:20" x14ac:dyDescent="0.35">
      <c r="B13" s="100"/>
      <c r="C13" s="97"/>
      <c r="D13" s="97"/>
      <c r="E13" s="96"/>
      <c r="F13" s="96"/>
      <c r="G13" s="97"/>
      <c r="J13" s="98"/>
    </row>
    <row r="14" spans="2:20" x14ac:dyDescent="0.35">
      <c r="B14" s="100"/>
      <c r="C14" s="97"/>
      <c r="D14" s="97"/>
      <c r="E14" s="96"/>
      <c r="F14" s="96"/>
      <c r="G14" s="97"/>
      <c r="J14" s="98"/>
    </row>
    <row r="15" spans="2:20" x14ac:dyDescent="0.35">
      <c r="B15" s="100"/>
      <c r="C15" s="97"/>
      <c r="D15" s="97"/>
      <c r="E15" s="96"/>
      <c r="F15" s="96"/>
      <c r="G15" s="97"/>
      <c r="J15" s="98"/>
    </row>
    <row r="16" spans="2:20" x14ac:dyDescent="0.35">
      <c r="B16" s="100">
        <v>44197</v>
      </c>
      <c r="C16" s="97" t="s">
        <v>199</v>
      </c>
      <c r="D16" s="97"/>
      <c r="E16" s="96">
        <v>193052</v>
      </c>
      <c r="F16" s="96">
        <v>300000</v>
      </c>
      <c r="G16" s="97"/>
      <c r="J16" s="98"/>
    </row>
    <row r="17" spans="1:10" x14ac:dyDescent="0.35">
      <c r="B17" s="100">
        <v>44197</v>
      </c>
      <c r="C17" s="97" t="s">
        <v>200</v>
      </c>
      <c r="D17" s="97"/>
      <c r="E17" s="96">
        <v>25000</v>
      </c>
      <c r="F17" s="96">
        <v>35000</v>
      </c>
      <c r="G17" s="97"/>
      <c r="J17" s="98"/>
    </row>
    <row r="18" spans="1:10" x14ac:dyDescent="0.35">
      <c r="B18" s="100"/>
      <c r="C18" s="97" t="s">
        <v>201</v>
      </c>
      <c r="D18" s="97"/>
      <c r="E18" s="96" t="s">
        <v>114</v>
      </c>
      <c r="F18" s="96"/>
      <c r="G18" s="97"/>
      <c r="J18" s="98"/>
    </row>
    <row r="19" spans="1:10" x14ac:dyDescent="0.35">
      <c r="B19" s="100"/>
      <c r="C19" s="97" t="s">
        <v>202</v>
      </c>
      <c r="D19" s="97"/>
      <c r="E19" s="96">
        <v>5000</v>
      </c>
      <c r="F19" s="96">
        <v>7500</v>
      </c>
      <c r="G19" s="97"/>
      <c r="J19" s="98"/>
    </row>
    <row r="20" spans="1:10" x14ac:dyDescent="0.35">
      <c r="B20" s="100"/>
      <c r="C20" s="97" t="s">
        <v>203</v>
      </c>
      <c r="D20" s="97"/>
      <c r="E20" s="96">
        <v>5000</v>
      </c>
      <c r="F20" s="96">
        <v>7000</v>
      </c>
      <c r="G20" s="97"/>
      <c r="J20" s="98"/>
    </row>
    <row r="21" spans="1:10" x14ac:dyDescent="0.35">
      <c r="B21" s="100"/>
      <c r="C21" s="97" t="s">
        <v>204</v>
      </c>
      <c r="D21" s="97"/>
      <c r="E21" s="96">
        <v>1000</v>
      </c>
      <c r="F21" s="96">
        <v>1500</v>
      </c>
      <c r="G21" s="97"/>
      <c r="J21" s="98"/>
    </row>
    <row r="22" spans="1:10" x14ac:dyDescent="0.35">
      <c r="B22" s="100" t="s">
        <v>219</v>
      </c>
      <c r="C22" s="97" t="s">
        <v>205</v>
      </c>
      <c r="D22" s="97"/>
      <c r="E22" s="96">
        <v>10000</v>
      </c>
      <c r="F22" s="96">
        <v>12000</v>
      </c>
      <c r="G22" s="97"/>
    </row>
    <row r="23" spans="1:10" x14ac:dyDescent="0.35">
      <c r="B23" s="100"/>
      <c r="C23" s="97" t="s">
        <v>206</v>
      </c>
      <c r="D23" s="97"/>
      <c r="E23" s="96">
        <v>70</v>
      </c>
      <c r="F23" s="96">
        <v>800</v>
      </c>
      <c r="G23" s="97"/>
    </row>
    <row r="24" spans="1:10" x14ac:dyDescent="0.35">
      <c r="A24" s="259"/>
      <c r="B24" s="100"/>
      <c r="C24" s="97" t="s">
        <v>207</v>
      </c>
      <c r="D24" s="97"/>
      <c r="E24" s="96">
        <v>800</v>
      </c>
      <c r="F24" s="96">
        <v>1200</v>
      </c>
      <c r="G24" s="97"/>
    </row>
    <row r="25" spans="1:10" x14ac:dyDescent="0.35">
      <c r="A25" s="259"/>
      <c r="B25" s="100"/>
      <c r="C25" s="97" t="s">
        <v>208</v>
      </c>
      <c r="D25" s="97"/>
      <c r="E25" s="96">
        <v>3000</v>
      </c>
      <c r="F25" s="96">
        <v>5000</v>
      </c>
      <c r="G25" s="97"/>
    </row>
    <row r="26" spans="1:10" x14ac:dyDescent="0.35">
      <c r="A26" s="259"/>
      <c r="B26" s="100">
        <v>44197</v>
      </c>
      <c r="C26" s="97" t="s">
        <v>209</v>
      </c>
      <c r="D26" s="97"/>
      <c r="E26" s="96">
        <v>5000</v>
      </c>
      <c r="F26" s="96">
        <v>8000</v>
      </c>
      <c r="G26" s="97"/>
    </row>
    <row r="27" spans="1:10" x14ac:dyDescent="0.35">
      <c r="A27" s="259"/>
      <c r="B27" s="100">
        <v>44562</v>
      </c>
      <c r="C27" s="97" t="s">
        <v>210</v>
      </c>
      <c r="D27" s="97"/>
      <c r="E27" s="96">
        <v>5000</v>
      </c>
      <c r="F27" s="96">
        <v>8000</v>
      </c>
      <c r="G27" s="97"/>
    </row>
    <row r="28" spans="1:10" x14ac:dyDescent="0.35">
      <c r="A28" s="259"/>
      <c r="B28" s="100"/>
      <c r="C28" s="97" t="s">
        <v>211</v>
      </c>
      <c r="D28" s="97"/>
      <c r="E28" s="96">
        <v>10000</v>
      </c>
      <c r="F28" s="96">
        <v>20000</v>
      </c>
      <c r="G28" s="97"/>
    </row>
    <row r="29" spans="1:10" x14ac:dyDescent="0.35">
      <c r="A29" s="259"/>
      <c r="B29" s="100"/>
      <c r="C29" s="97" t="s">
        <v>177</v>
      </c>
      <c r="D29" s="97"/>
      <c r="E29" s="96">
        <v>100000</v>
      </c>
      <c r="F29" s="96">
        <v>140000</v>
      </c>
      <c r="G29" s="97"/>
    </row>
    <row r="30" spans="1:10" x14ac:dyDescent="0.35">
      <c r="A30" s="259"/>
      <c r="B30" s="100"/>
      <c r="C30" s="97" t="s">
        <v>212</v>
      </c>
      <c r="D30" s="97"/>
      <c r="E30" s="96">
        <v>12000</v>
      </c>
      <c r="F30" s="96">
        <v>18000</v>
      </c>
      <c r="G30" s="97"/>
    </row>
    <row r="31" spans="1:10" x14ac:dyDescent="0.35">
      <c r="A31" s="259"/>
      <c r="B31" s="260"/>
      <c r="C31" s="261" t="s">
        <v>213</v>
      </c>
      <c r="D31" s="261"/>
      <c r="E31" s="262"/>
      <c r="F31" s="262">
        <v>5000</v>
      </c>
      <c r="G31" s="97"/>
    </row>
    <row r="32" spans="1:10" x14ac:dyDescent="0.35">
      <c r="A32" s="259"/>
      <c r="B32" s="100">
        <v>45505</v>
      </c>
      <c r="C32" s="97" t="s">
        <v>214</v>
      </c>
      <c r="D32" s="97"/>
      <c r="E32" s="96">
        <v>1</v>
      </c>
      <c r="F32" s="96">
        <v>50000</v>
      </c>
      <c r="G32" s="97"/>
    </row>
    <row r="33" spans="1:7" x14ac:dyDescent="0.35">
      <c r="A33" s="259"/>
      <c r="B33" s="100"/>
      <c r="C33" s="97" t="s">
        <v>215</v>
      </c>
      <c r="D33" s="97"/>
      <c r="E33" s="96">
        <v>15000</v>
      </c>
      <c r="F33" s="96">
        <v>25000</v>
      </c>
      <c r="G33" s="97"/>
    </row>
    <row r="34" spans="1:7" x14ac:dyDescent="0.35">
      <c r="A34" s="259"/>
      <c r="B34" s="100"/>
      <c r="C34" s="97" t="s">
        <v>216</v>
      </c>
      <c r="D34" s="97"/>
      <c r="E34" s="96">
        <v>70000</v>
      </c>
      <c r="F34" s="96">
        <v>10000</v>
      </c>
      <c r="G34" s="97"/>
    </row>
    <row r="35" spans="1:7" x14ac:dyDescent="0.35">
      <c r="A35" s="259"/>
      <c r="B35" s="100"/>
      <c r="C35" s="97" t="s">
        <v>217</v>
      </c>
      <c r="D35" s="97"/>
      <c r="E35" s="96">
        <v>50000</v>
      </c>
      <c r="F35" s="96">
        <v>80000</v>
      </c>
      <c r="G35" s="97"/>
    </row>
    <row r="36" spans="1:7" x14ac:dyDescent="0.35">
      <c r="A36" s="259"/>
      <c r="B36" s="100"/>
      <c r="C36" s="97" t="s">
        <v>218</v>
      </c>
      <c r="D36" s="97"/>
      <c r="E36" s="96">
        <v>2000</v>
      </c>
      <c r="F36" s="96">
        <v>4000</v>
      </c>
      <c r="G36" s="97"/>
    </row>
    <row r="37" spans="1:7" x14ac:dyDescent="0.35">
      <c r="A37" s="259"/>
      <c r="B37" s="254">
        <v>45449</v>
      </c>
      <c r="C37" s="248" t="s">
        <v>236</v>
      </c>
      <c r="D37" s="248"/>
      <c r="E37" s="249">
        <v>400</v>
      </c>
      <c r="F37" s="249">
        <v>900</v>
      </c>
      <c r="G37" s="248"/>
    </row>
    <row r="38" spans="1:7" x14ac:dyDescent="0.35">
      <c r="A38" s="259"/>
      <c r="B38" s="254"/>
      <c r="C38" s="248" t="s">
        <v>237</v>
      </c>
      <c r="D38" s="248"/>
      <c r="E38" s="249">
        <v>60</v>
      </c>
      <c r="F38" s="249">
        <v>150</v>
      </c>
      <c r="G38" s="248"/>
    </row>
    <row r="39" spans="1:7" x14ac:dyDescent="0.35">
      <c r="A39" s="259"/>
      <c r="B39" s="254"/>
      <c r="C39" s="248" t="s">
        <v>238</v>
      </c>
      <c r="D39" s="248"/>
      <c r="E39" s="249">
        <v>50</v>
      </c>
      <c r="F39" s="249">
        <v>150</v>
      </c>
      <c r="G39" s="248"/>
    </row>
    <row r="40" spans="1:7" x14ac:dyDescent="0.35">
      <c r="A40" s="259"/>
      <c r="B40" s="254"/>
      <c r="C40" s="248" t="s">
        <v>239</v>
      </c>
      <c r="D40" s="248"/>
      <c r="E40" s="249">
        <v>2000</v>
      </c>
      <c r="F40" s="249">
        <v>3500</v>
      </c>
      <c r="G40" s="248"/>
    </row>
    <row r="41" spans="1:7" x14ac:dyDescent="0.35">
      <c r="A41" s="259"/>
      <c r="B41" s="263">
        <v>45744</v>
      </c>
      <c r="C41" s="264" t="s">
        <v>253</v>
      </c>
      <c r="D41" s="264"/>
      <c r="E41" s="265">
        <v>11780</v>
      </c>
      <c r="F41" s="265">
        <v>15000</v>
      </c>
      <c r="G41" s="248"/>
    </row>
    <row r="42" spans="1:7" x14ac:dyDescent="0.35">
      <c r="A42" s="259"/>
      <c r="B42" s="263">
        <v>45838</v>
      </c>
      <c r="C42" s="264" t="s">
        <v>251</v>
      </c>
      <c r="D42" s="264"/>
      <c r="E42" s="265">
        <v>8900</v>
      </c>
      <c r="F42" s="265">
        <v>60000</v>
      </c>
      <c r="G42" s="248"/>
    </row>
    <row r="43" spans="1:7" x14ac:dyDescent="0.35">
      <c r="A43" s="259"/>
      <c r="B43" s="263">
        <v>45838</v>
      </c>
      <c r="C43" s="264" t="s">
        <v>252</v>
      </c>
      <c r="D43" s="264"/>
      <c r="E43" s="265">
        <v>5890</v>
      </c>
      <c r="F43" s="265">
        <v>8000</v>
      </c>
      <c r="G43" s="248"/>
    </row>
    <row r="44" spans="1:7" x14ac:dyDescent="0.35">
      <c r="A44" s="259"/>
      <c r="B44" s="254"/>
      <c r="C44" s="248"/>
      <c r="D44" s="248"/>
      <c r="E44" s="249"/>
      <c r="F44" s="249"/>
      <c r="G44" s="248"/>
    </row>
    <row r="45" spans="1:7" x14ac:dyDescent="0.35">
      <c r="A45" s="259"/>
      <c r="B45" s="254"/>
      <c r="C45" s="248"/>
      <c r="D45" s="248"/>
      <c r="E45" s="249"/>
      <c r="F45" s="249"/>
      <c r="G45" s="248"/>
    </row>
    <row r="46" spans="1:7" x14ac:dyDescent="0.35">
      <c r="A46" s="259"/>
      <c r="B46" s="254"/>
      <c r="C46" s="248"/>
      <c r="D46" s="248"/>
      <c r="E46" s="249"/>
      <c r="F46" s="249"/>
      <c r="G46" s="248"/>
    </row>
    <row r="47" spans="1:7" x14ac:dyDescent="0.35">
      <c r="A47" s="259"/>
      <c r="B47" s="254"/>
      <c r="C47" s="248"/>
      <c r="D47" s="248"/>
      <c r="E47" s="249"/>
      <c r="F47" s="249"/>
      <c r="G47" s="248"/>
    </row>
    <row r="48" spans="1:7" x14ac:dyDescent="0.35">
      <c r="A48" s="259"/>
      <c r="B48" s="254"/>
      <c r="C48" s="248"/>
      <c r="D48" s="248"/>
      <c r="E48" s="249"/>
      <c r="F48" s="249"/>
      <c r="G48" s="248"/>
    </row>
    <row r="49" spans="1:7" x14ac:dyDescent="0.35">
      <c r="A49" s="259"/>
      <c r="B49" s="254"/>
      <c r="C49" s="248"/>
      <c r="D49" s="248"/>
      <c r="E49" s="249"/>
      <c r="F49" s="249"/>
      <c r="G49" s="248"/>
    </row>
    <row r="50" spans="1:7" x14ac:dyDescent="0.35">
      <c r="A50" s="259"/>
      <c r="B50" s="254"/>
      <c r="C50" s="248"/>
      <c r="D50" s="248"/>
      <c r="E50" s="249"/>
      <c r="F50" s="249"/>
      <c r="G50" s="248"/>
    </row>
    <row r="51" spans="1:7" x14ac:dyDescent="0.35">
      <c r="A51" s="259"/>
      <c r="B51" s="254"/>
      <c r="C51" s="248"/>
      <c r="D51" s="248"/>
      <c r="E51" s="249"/>
      <c r="F51" s="249"/>
      <c r="G51" s="248"/>
    </row>
    <row r="52" spans="1:7" x14ac:dyDescent="0.35">
      <c r="A52" s="259"/>
      <c r="B52" s="254"/>
      <c r="C52" s="248"/>
      <c r="D52" s="248"/>
      <c r="E52" s="249"/>
      <c r="F52" s="249"/>
      <c r="G52" s="248"/>
    </row>
    <row r="53" spans="1:7" x14ac:dyDescent="0.35">
      <c r="A53" s="259"/>
      <c r="B53" s="254"/>
      <c r="C53" s="248"/>
      <c r="D53" s="248"/>
      <c r="E53" s="249"/>
      <c r="F53" s="249"/>
      <c r="G53" s="248"/>
    </row>
    <row r="54" spans="1:7" x14ac:dyDescent="0.35">
      <c r="A54" s="259"/>
      <c r="B54" s="254"/>
      <c r="C54" s="248"/>
      <c r="D54" s="248"/>
      <c r="E54" s="249"/>
      <c r="F54" s="249"/>
      <c r="G54" s="248"/>
    </row>
    <row r="55" spans="1:7" x14ac:dyDescent="0.35">
      <c r="A55" s="259"/>
      <c r="B55" s="254"/>
      <c r="C55" s="248"/>
      <c r="D55" s="248"/>
      <c r="E55" s="249"/>
      <c r="F55" s="249"/>
      <c r="G55" s="248"/>
    </row>
    <row r="56" spans="1:7" x14ac:dyDescent="0.35">
      <c r="A56" s="259"/>
      <c r="B56" s="254"/>
      <c r="C56" s="248"/>
      <c r="D56" s="248"/>
      <c r="E56" s="249"/>
      <c r="F56" s="249"/>
      <c r="G56" s="248"/>
    </row>
    <row r="57" spans="1:7" x14ac:dyDescent="0.35">
      <c r="A57" s="259"/>
      <c r="B57" s="254"/>
      <c r="C57" s="248"/>
      <c r="D57" s="248"/>
      <c r="E57" s="249"/>
      <c r="F57" s="249"/>
      <c r="G57" s="248"/>
    </row>
    <row r="58" spans="1:7" x14ac:dyDescent="0.35">
      <c r="A58" s="259"/>
      <c r="B58" s="254"/>
      <c r="C58" s="248"/>
      <c r="D58" s="248" t="s">
        <v>114</v>
      </c>
      <c r="E58" s="249"/>
      <c r="F58" s="249"/>
      <c r="G58" s="248"/>
    </row>
    <row r="59" spans="1:7" x14ac:dyDescent="0.35">
      <c r="A59" s="259"/>
      <c r="B59" s="254"/>
      <c r="C59" s="248"/>
      <c r="D59" s="248"/>
      <c r="E59" s="249"/>
      <c r="F59" s="249"/>
      <c r="G59" s="248"/>
    </row>
  </sheetData>
  <sortState xmlns:xlrd2="http://schemas.microsoft.com/office/spreadsheetml/2017/richdata2" ref="B6:G6">
    <sortCondition ref="B6"/>
    <sortCondition ref="C6"/>
  </sortState>
  <mergeCells count="1">
    <mergeCell ref="I4:I5"/>
  </mergeCells>
  <phoneticPr fontId="3" type="noConversion"/>
  <pageMargins left="0.59055118110236227" right="0.59055118110236227" top="0.59055118110236227" bottom="0.59055118110236227" header="0.27559055118110237" footer="0.27559055118110237"/>
  <pageSetup paperSize="9" scale="6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B1:S23"/>
  <sheetViews>
    <sheetView showGridLines="0" zoomScaleNormal="100" workbookViewId="0">
      <selection activeCell="C5" sqref="C5"/>
    </sheetView>
  </sheetViews>
  <sheetFormatPr defaultColWidth="8.81640625" defaultRowHeight="13" x14ac:dyDescent="0.3"/>
  <cols>
    <col min="1" max="1" width="2.1796875" style="11" customWidth="1"/>
    <col min="2" max="2" width="35.453125" style="11" bestFit="1" customWidth="1"/>
    <col min="3" max="3" width="9.81640625" style="11" bestFit="1" customWidth="1"/>
    <col min="4" max="4" width="2.1796875" style="11" customWidth="1"/>
    <col min="5" max="5" width="9.81640625" style="11" bestFit="1" customWidth="1"/>
    <col min="6" max="6" width="6.81640625" style="11" bestFit="1" customWidth="1"/>
    <col min="7" max="7" width="7.81640625" style="11" bestFit="1" customWidth="1"/>
    <col min="8" max="8" width="6.81640625" style="11" bestFit="1" customWidth="1"/>
    <col min="9" max="9" width="9.1796875" style="11" bestFit="1" customWidth="1"/>
    <col min="10" max="10" width="9.453125" style="11" bestFit="1" customWidth="1"/>
    <col min="11" max="16384" width="8.81640625" style="11"/>
  </cols>
  <sheetData>
    <row r="1" spans="2:19" s="122" customFormat="1" x14ac:dyDescent="0.35">
      <c r="B1" s="134" t="str">
        <f>SETUP!C4&amp;" Parish Council"</f>
        <v>Barnton Parish Council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</row>
    <row r="2" spans="2:19" s="122" customFormat="1" x14ac:dyDescent="0.35">
      <c r="B2" s="134" t="s">
        <v>150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</row>
    <row r="3" spans="2:19" ht="16" x14ac:dyDescent="0.3">
      <c r="C3" s="183"/>
      <c r="E3" s="176"/>
      <c r="F3" s="176"/>
      <c r="G3" s="176"/>
      <c r="H3" s="176"/>
      <c r="I3" s="176"/>
      <c r="J3" s="176"/>
    </row>
    <row r="4" spans="2:19" x14ac:dyDescent="0.3">
      <c r="B4" s="184" t="s">
        <v>108</v>
      </c>
      <c r="C4" s="125">
        <v>155712.99</v>
      </c>
      <c r="E4" s="190" t="str">
        <f>SETUP!C14</f>
        <v>2027-28</v>
      </c>
      <c r="F4" s="191" t="s">
        <v>23</v>
      </c>
      <c r="G4" s="191" t="s">
        <v>23</v>
      </c>
      <c r="H4" s="191" t="s">
        <v>23</v>
      </c>
      <c r="I4" s="191" t="s">
        <v>24</v>
      </c>
      <c r="J4" s="192" t="s">
        <v>24</v>
      </c>
    </row>
    <row r="5" spans="2:19" x14ac:dyDescent="0.3">
      <c r="B5" s="184" t="s">
        <v>105</v>
      </c>
      <c r="C5" s="185">
        <v>31962.99</v>
      </c>
      <c r="E5" s="193" t="s">
        <v>10</v>
      </c>
      <c r="F5" s="194" t="s">
        <v>25</v>
      </c>
      <c r="G5" s="194" t="s">
        <v>26</v>
      </c>
      <c r="H5" s="194" t="s">
        <v>27</v>
      </c>
      <c r="I5" s="194" t="s">
        <v>28</v>
      </c>
      <c r="J5" s="195" t="s">
        <v>29</v>
      </c>
    </row>
    <row r="6" spans="2:19" x14ac:dyDescent="0.3">
      <c r="B6" s="184" t="s">
        <v>106</v>
      </c>
      <c r="C6" s="125">
        <v>1762.3</v>
      </c>
      <c r="E6" s="125">
        <f>C4</f>
        <v>155712.99</v>
      </c>
      <c r="F6" s="125">
        <f>E6/$C$6</f>
        <v>88.357822164217211</v>
      </c>
      <c r="G6" s="125">
        <f t="shared" ref="G6:G23" si="0">F6/12</f>
        <v>7.3631518470181012</v>
      </c>
      <c r="H6" s="125">
        <f t="shared" ref="H6:H23" si="1">F6/52</f>
        <v>1.6991888877734078</v>
      </c>
      <c r="I6" s="186">
        <f>F6-$C$7</f>
        <v>18.037822164217218</v>
      </c>
      <c r="J6" s="257">
        <f>I6/$C$7</f>
        <v>0.25651055409865214</v>
      </c>
    </row>
    <row r="7" spans="2:19" x14ac:dyDescent="0.3">
      <c r="B7" s="184" t="str">
        <f>"Band D cost in "&amp;SETUP!C13</f>
        <v>Band D cost in 2026-27</v>
      </c>
      <c r="C7" s="125">
        <v>70.319999999999993</v>
      </c>
      <c r="E7" s="125">
        <f>E6+$C$5</f>
        <v>187675.97999999998</v>
      </c>
      <c r="F7" s="125">
        <f t="shared" ref="F7:F23" si="2">E7/$C$6</f>
        <v>106.49491006071611</v>
      </c>
      <c r="G7" s="125">
        <f t="shared" si="0"/>
        <v>8.8745758383930085</v>
      </c>
      <c r="H7" s="125">
        <f t="shared" si="1"/>
        <v>2.0479790396291557</v>
      </c>
      <c r="I7" s="186">
        <f t="shared" ref="I7" si="3">F7-$C$7</f>
        <v>36.174910060716115</v>
      </c>
      <c r="J7" s="258">
        <f t="shared" ref="J7:J23" si="4">I7/$C$7</f>
        <v>0.51443273692713476</v>
      </c>
    </row>
    <row r="8" spans="2:19" x14ac:dyDescent="0.3">
      <c r="B8" s="188"/>
      <c r="C8" s="189"/>
      <c r="E8" s="125">
        <f t="shared" ref="E8:E23" si="5">E7+$C$5</f>
        <v>219638.96999999997</v>
      </c>
      <c r="F8" s="125">
        <f t="shared" si="2"/>
        <v>124.63199795721499</v>
      </c>
      <c r="G8" s="125">
        <f t="shared" si="0"/>
        <v>10.385999829767917</v>
      </c>
      <c r="H8" s="125">
        <f t="shared" si="1"/>
        <v>2.3967691914849039</v>
      </c>
      <c r="I8" s="186">
        <f t="shared" ref="I8:I23" si="6">F8-$C$7</f>
        <v>54.311997957214999</v>
      </c>
      <c r="J8" s="187">
        <f t="shared" si="4"/>
        <v>0.77235491975561721</v>
      </c>
    </row>
    <row r="9" spans="2:19" x14ac:dyDescent="0.3">
      <c r="B9" s="137"/>
      <c r="C9" s="137"/>
      <c r="E9" s="125">
        <f t="shared" si="5"/>
        <v>251601.95999999996</v>
      </c>
      <c r="F9" s="125">
        <f t="shared" si="2"/>
        <v>142.76908585371388</v>
      </c>
      <c r="G9" s="125">
        <f t="shared" si="0"/>
        <v>11.897423821142823</v>
      </c>
      <c r="H9" s="125">
        <f t="shared" si="1"/>
        <v>2.7455593433406515</v>
      </c>
      <c r="I9" s="186">
        <f t="shared" si="6"/>
        <v>72.449085853713882</v>
      </c>
      <c r="J9" s="187">
        <f t="shared" si="4"/>
        <v>1.0302771025840998</v>
      </c>
    </row>
    <row r="10" spans="2:19" x14ac:dyDescent="0.3">
      <c r="B10" s="137"/>
      <c r="C10" s="137"/>
      <c r="E10" s="125">
        <f t="shared" si="5"/>
        <v>283564.94999999995</v>
      </c>
      <c r="F10" s="125">
        <f t="shared" si="2"/>
        <v>160.90617375021276</v>
      </c>
      <c r="G10" s="125">
        <f t="shared" si="0"/>
        <v>13.408847812517729</v>
      </c>
      <c r="H10" s="125">
        <f t="shared" si="1"/>
        <v>3.0943494951963992</v>
      </c>
      <c r="I10" s="186">
        <f t="shared" si="6"/>
        <v>90.586173750212765</v>
      </c>
      <c r="J10" s="187">
        <f t="shared" si="4"/>
        <v>1.2881992854125821</v>
      </c>
    </row>
    <row r="11" spans="2:19" x14ac:dyDescent="0.3">
      <c r="B11" s="137"/>
      <c r="C11" s="137"/>
      <c r="E11" s="125">
        <f t="shared" si="5"/>
        <v>315527.93999999994</v>
      </c>
      <c r="F11" s="125">
        <f t="shared" si="2"/>
        <v>179.04326164671167</v>
      </c>
      <c r="G11" s="125">
        <f t="shared" si="0"/>
        <v>14.920271803892639</v>
      </c>
      <c r="H11" s="125">
        <f t="shared" si="1"/>
        <v>3.4431396470521474</v>
      </c>
      <c r="I11" s="186">
        <f t="shared" si="6"/>
        <v>108.72326164671168</v>
      </c>
      <c r="J11" s="187">
        <f t="shared" si="4"/>
        <v>1.5461214682410649</v>
      </c>
    </row>
    <row r="12" spans="2:19" x14ac:dyDescent="0.3">
      <c r="B12" s="137"/>
      <c r="C12" s="137"/>
      <c r="E12" s="125">
        <f t="shared" si="5"/>
        <v>347490.92999999993</v>
      </c>
      <c r="F12" s="125">
        <f t="shared" si="2"/>
        <v>197.18034954321055</v>
      </c>
      <c r="G12" s="125">
        <f t="shared" si="0"/>
        <v>16.431695795267547</v>
      </c>
      <c r="H12" s="125">
        <f t="shared" si="1"/>
        <v>3.7919297989078951</v>
      </c>
      <c r="I12" s="186">
        <f t="shared" si="6"/>
        <v>126.86034954321056</v>
      </c>
      <c r="J12" s="187">
        <f t="shared" si="4"/>
        <v>1.8040436510695474</v>
      </c>
    </row>
    <row r="13" spans="2:19" x14ac:dyDescent="0.3">
      <c r="B13" s="137"/>
      <c r="C13" s="137"/>
      <c r="E13" s="125">
        <f t="shared" si="5"/>
        <v>379453.91999999993</v>
      </c>
      <c r="F13" s="125">
        <f t="shared" si="2"/>
        <v>215.31743743970944</v>
      </c>
      <c r="G13" s="125">
        <f t="shared" si="0"/>
        <v>17.943119786642452</v>
      </c>
      <c r="H13" s="125">
        <f t="shared" si="1"/>
        <v>4.1407199507636427</v>
      </c>
      <c r="I13" s="186">
        <f t="shared" si="6"/>
        <v>144.99743743970944</v>
      </c>
      <c r="J13" s="187">
        <f t="shared" si="4"/>
        <v>2.06196583389803</v>
      </c>
    </row>
    <row r="14" spans="2:19" x14ac:dyDescent="0.3">
      <c r="B14" s="137"/>
      <c r="C14" s="137"/>
      <c r="E14" s="125">
        <f t="shared" si="5"/>
        <v>411416.90999999992</v>
      </c>
      <c r="F14" s="125">
        <f t="shared" si="2"/>
        <v>233.45452533620832</v>
      </c>
      <c r="G14" s="125">
        <f t="shared" si="0"/>
        <v>19.45454377801736</v>
      </c>
      <c r="H14" s="125">
        <f t="shared" si="1"/>
        <v>4.4895101026193904</v>
      </c>
      <c r="I14" s="186">
        <f t="shared" si="6"/>
        <v>163.13452533620833</v>
      </c>
      <c r="J14" s="187">
        <f t="shared" si="4"/>
        <v>2.3198880167265123</v>
      </c>
    </row>
    <row r="15" spans="2:19" x14ac:dyDescent="0.3">
      <c r="B15" s="137"/>
      <c r="C15" s="137"/>
      <c r="E15" s="125">
        <f t="shared" si="5"/>
        <v>443379.89999999991</v>
      </c>
      <c r="F15" s="125">
        <f t="shared" si="2"/>
        <v>251.5916132327072</v>
      </c>
      <c r="G15" s="125">
        <f t="shared" si="0"/>
        <v>20.965967769392268</v>
      </c>
      <c r="H15" s="125">
        <f t="shared" si="1"/>
        <v>4.8383002544751381</v>
      </c>
      <c r="I15" s="186">
        <f t="shared" si="6"/>
        <v>181.27161323270721</v>
      </c>
      <c r="J15" s="187">
        <f t="shared" si="4"/>
        <v>2.5778101995549947</v>
      </c>
    </row>
    <row r="16" spans="2:19" x14ac:dyDescent="0.3">
      <c r="B16" s="137"/>
      <c r="C16" s="137"/>
      <c r="E16" s="125">
        <f t="shared" si="5"/>
        <v>475342.8899999999</v>
      </c>
      <c r="F16" s="125">
        <f t="shared" si="2"/>
        <v>269.72870112920612</v>
      </c>
      <c r="G16" s="125">
        <f t="shared" si="0"/>
        <v>22.477391760767176</v>
      </c>
      <c r="H16" s="125">
        <f t="shared" si="1"/>
        <v>5.1870904063308867</v>
      </c>
      <c r="I16" s="186">
        <f t="shared" si="6"/>
        <v>199.40870112920612</v>
      </c>
      <c r="J16" s="187">
        <f t="shared" si="4"/>
        <v>2.8357323823834775</v>
      </c>
    </row>
    <row r="17" spans="2:10" x14ac:dyDescent="0.3">
      <c r="B17" s="137"/>
      <c r="C17" s="137"/>
      <c r="E17" s="125">
        <f t="shared" si="5"/>
        <v>507305.87999999989</v>
      </c>
      <c r="F17" s="125">
        <f t="shared" si="2"/>
        <v>287.865789025705</v>
      </c>
      <c r="G17" s="125">
        <f t="shared" si="0"/>
        <v>23.988815752142084</v>
      </c>
      <c r="H17" s="125">
        <f t="shared" si="1"/>
        <v>5.5358805581866344</v>
      </c>
      <c r="I17" s="186">
        <f t="shared" si="6"/>
        <v>217.54578902570501</v>
      </c>
      <c r="J17" s="187">
        <f t="shared" si="4"/>
        <v>3.0936545652119598</v>
      </c>
    </row>
    <row r="18" spans="2:10" x14ac:dyDescent="0.3">
      <c r="B18" s="137"/>
      <c r="C18" s="137"/>
      <c r="E18" s="125">
        <f t="shared" si="5"/>
        <v>539268.86999999988</v>
      </c>
      <c r="F18" s="125">
        <f t="shared" si="2"/>
        <v>306.00287692220388</v>
      </c>
      <c r="G18" s="125">
        <f t="shared" si="0"/>
        <v>25.500239743516989</v>
      </c>
      <c r="H18" s="125">
        <f t="shared" si="1"/>
        <v>5.8846707100423821</v>
      </c>
      <c r="I18" s="186">
        <f t="shared" si="6"/>
        <v>235.68287692220389</v>
      </c>
      <c r="J18" s="187">
        <f t="shared" si="4"/>
        <v>3.3515767480404426</v>
      </c>
    </row>
    <row r="19" spans="2:10" x14ac:dyDescent="0.3">
      <c r="B19" s="137"/>
      <c r="C19" s="137"/>
      <c r="E19" s="125">
        <f t="shared" si="5"/>
        <v>571231.85999999987</v>
      </c>
      <c r="F19" s="125">
        <f t="shared" si="2"/>
        <v>324.13996481870277</v>
      </c>
      <c r="G19" s="125">
        <f t="shared" si="0"/>
        <v>27.011663734891897</v>
      </c>
      <c r="H19" s="125">
        <f t="shared" si="1"/>
        <v>6.2334608618981298</v>
      </c>
      <c r="I19" s="186">
        <f t="shared" si="6"/>
        <v>253.81996481870277</v>
      </c>
      <c r="J19" s="187">
        <f t="shared" si="4"/>
        <v>3.6094989308689249</v>
      </c>
    </row>
    <row r="20" spans="2:10" x14ac:dyDescent="0.3">
      <c r="B20" s="137"/>
      <c r="C20" s="137"/>
      <c r="E20" s="125">
        <f t="shared" si="5"/>
        <v>603194.84999999986</v>
      </c>
      <c r="F20" s="125">
        <f t="shared" si="2"/>
        <v>342.27705271520165</v>
      </c>
      <c r="G20" s="125">
        <f t="shared" si="0"/>
        <v>28.523087726266805</v>
      </c>
      <c r="H20" s="125">
        <f t="shared" si="1"/>
        <v>6.5822510137538774</v>
      </c>
      <c r="I20" s="186">
        <f t="shared" si="6"/>
        <v>271.95705271520166</v>
      </c>
      <c r="J20" s="187">
        <f t="shared" si="4"/>
        <v>3.8674211136974073</v>
      </c>
    </row>
    <row r="21" spans="2:10" x14ac:dyDescent="0.3">
      <c r="B21" s="137"/>
      <c r="C21" s="137"/>
      <c r="E21" s="125">
        <f t="shared" si="5"/>
        <v>635157.83999999985</v>
      </c>
      <c r="F21" s="125">
        <f t="shared" si="2"/>
        <v>360.41414061170053</v>
      </c>
      <c r="G21" s="125">
        <f t="shared" si="0"/>
        <v>30.03451171764171</v>
      </c>
      <c r="H21" s="125">
        <f t="shared" si="1"/>
        <v>6.931041165609626</v>
      </c>
      <c r="I21" s="186">
        <f t="shared" si="6"/>
        <v>290.09414061170054</v>
      </c>
      <c r="J21" s="187">
        <f t="shared" si="4"/>
        <v>4.12534329652589</v>
      </c>
    </row>
    <row r="22" spans="2:10" x14ac:dyDescent="0.3">
      <c r="B22" s="137"/>
      <c r="C22" s="137"/>
      <c r="E22" s="125">
        <f t="shared" si="5"/>
        <v>667120.82999999984</v>
      </c>
      <c r="F22" s="125">
        <f t="shared" si="2"/>
        <v>378.55122850819942</v>
      </c>
      <c r="G22" s="125">
        <f t="shared" si="0"/>
        <v>31.545935709016618</v>
      </c>
      <c r="H22" s="125">
        <f t="shared" si="1"/>
        <v>7.2798313174653737</v>
      </c>
      <c r="I22" s="186">
        <f t="shared" si="6"/>
        <v>308.23122850819942</v>
      </c>
      <c r="J22" s="187">
        <f t="shared" si="4"/>
        <v>4.3832654793543719</v>
      </c>
    </row>
    <row r="23" spans="2:10" x14ac:dyDescent="0.3">
      <c r="B23" s="137"/>
      <c r="C23" s="137"/>
      <c r="E23" s="125">
        <f t="shared" si="5"/>
        <v>699083.81999999983</v>
      </c>
      <c r="F23" s="125">
        <f t="shared" si="2"/>
        <v>396.6883164046983</v>
      </c>
      <c r="G23" s="125">
        <f t="shared" si="0"/>
        <v>33.057359700391522</v>
      </c>
      <c r="H23" s="125">
        <f t="shared" si="1"/>
        <v>7.6286214693211214</v>
      </c>
      <c r="I23" s="186">
        <f t="shared" si="6"/>
        <v>326.36831640469831</v>
      </c>
      <c r="J23" s="187">
        <f t="shared" si="4"/>
        <v>4.6411876621828547</v>
      </c>
    </row>
  </sheetData>
  <conditionalFormatting sqref="T1:T2">
    <cfRule type="cellIs" dxfId="1" priority="1" operator="equal">
      <formula>"Shortfall"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  <pageSetUpPr fitToPage="1"/>
  </sheetPr>
  <dimension ref="B1:U25"/>
  <sheetViews>
    <sheetView showGridLines="0" workbookViewId="0">
      <selection activeCell="B9" sqref="B9"/>
    </sheetView>
  </sheetViews>
  <sheetFormatPr defaultColWidth="8.81640625" defaultRowHeight="13" x14ac:dyDescent="0.3"/>
  <cols>
    <col min="1" max="1" width="2.1796875" style="11" customWidth="1"/>
    <col min="2" max="2" width="17" style="11" customWidth="1"/>
    <col min="3" max="3" width="10.1796875" style="11" bestFit="1" customWidth="1"/>
    <col min="4" max="4" width="8.1796875" style="11" bestFit="1" customWidth="1"/>
    <col min="5" max="14" width="7.54296875" style="11" customWidth="1"/>
    <col min="15" max="15" width="10.1796875" style="11" bestFit="1" customWidth="1"/>
    <col min="16" max="16" width="8" style="11" customWidth="1"/>
    <col min="17" max="18" width="10.1796875" style="11" bestFit="1" customWidth="1"/>
    <col min="19" max="19" width="10.81640625" style="11" bestFit="1" customWidth="1"/>
    <col min="20" max="20" width="8.81640625" style="11" bestFit="1" customWidth="1"/>
    <col min="21" max="16384" width="8.81640625" style="11"/>
  </cols>
  <sheetData>
    <row r="1" spans="2:21" s="122" customFormat="1" x14ac:dyDescent="0.3">
      <c r="B1" s="134" t="str">
        <f>SETUP!C4&amp;" Parish Council"</f>
        <v>Barnton Parish Council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50"/>
    </row>
    <row r="2" spans="2:21" s="122" customFormat="1" x14ac:dyDescent="0.35">
      <c r="B2" s="134" t="s">
        <v>149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51"/>
    </row>
    <row r="3" spans="2:21" ht="12" customHeight="1" x14ac:dyDescent="0.3"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</row>
    <row r="4" spans="2:21" x14ac:dyDescent="0.3">
      <c r="B4" s="337" t="s">
        <v>146</v>
      </c>
      <c r="C4" s="154">
        <f>SETUP!C10</f>
        <v>46113</v>
      </c>
      <c r="D4" s="154">
        <f>EDATE(C4,1)</f>
        <v>46143</v>
      </c>
      <c r="E4" s="154">
        <f t="shared" ref="E4:N4" si="0">EDATE(D4,1)</f>
        <v>46174</v>
      </c>
      <c r="F4" s="154">
        <f t="shared" si="0"/>
        <v>46204</v>
      </c>
      <c r="G4" s="154">
        <f t="shared" si="0"/>
        <v>46235</v>
      </c>
      <c r="H4" s="154">
        <f t="shared" si="0"/>
        <v>46266</v>
      </c>
      <c r="I4" s="154">
        <f t="shared" si="0"/>
        <v>46296</v>
      </c>
      <c r="J4" s="154">
        <f t="shared" si="0"/>
        <v>46327</v>
      </c>
      <c r="K4" s="154">
        <f t="shared" si="0"/>
        <v>46357</v>
      </c>
      <c r="L4" s="154">
        <f t="shared" si="0"/>
        <v>46388</v>
      </c>
      <c r="M4" s="154">
        <f t="shared" si="0"/>
        <v>46419</v>
      </c>
      <c r="N4" s="154">
        <f t="shared" si="0"/>
        <v>46447</v>
      </c>
      <c r="O4" s="155" t="s">
        <v>81</v>
      </c>
      <c r="P4" s="334" t="s">
        <v>22</v>
      </c>
      <c r="Q4" s="335" t="s">
        <v>20</v>
      </c>
      <c r="R4" s="335" t="s">
        <v>21</v>
      </c>
      <c r="S4" s="336" t="s">
        <v>100</v>
      </c>
      <c r="T4" s="156" t="s">
        <v>147</v>
      </c>
    </row>
    <row r="5" spans="2:21" x14ac:dyDescent="0.3">
      <c r="B5" s="337"/>
      <c r="C5" s="157">
        <f>C4</f>
        <v>46113</v>
      </c>
      <c r="D5" s="157">
        <f t="shared" ref="D5:N5" si="1">D4</f>
        <v>46143</v>
      </c>
      <c r="E5" s="157">
        <f t="shared" si="1"/>
        <v>46174</v>
      </c>
      <c r="F5" s="157">
        <f t="shared" si="1"/>
        <v>46204</v>
      </c>
      <c r="G5" s="157">
        <f t="shared" si="1"/>
        <v>46235</v>
      </c>
      <c r="H5" s="157">
        <f t="shared" si="1"/>
        <v>46266</v>
      </c>
      <c r="I5" s="157">
        <f t="shared" si="1"/>
        <v>46296</v>
      </c>
      <c r="J5" s="157">
        <f t="shared" si="1"/>
        <v>46327</v>
      </c>
      <c r="K5" s="157">
        <f t="shared" si="1"/>
        <v>46357</v>
      </c>
      <c r="L5" s="157">
        <f t="shared" si="1"/>
        <v>46388</v>
      </c>
      <c r="M5" s="157">
        <f t="shared" si="1"/>
        <v>46419</v>
      </c>
      <c r="N5" s="157">
        <f t="shared" si="1"/>
        <v>46447</v>
      </c>
      <c r="O5" s="158" t="s">
        <v>85</v>
      </c>
      <c r="P5" s="334"/>
      <c r="Q5" s="335"/>
      <c r="R5" s="335"/>
      <c r="S5" s="336"/>
      <c r="T5" s="159" t="s">
        <v>18</v>
      </c>
    </row>
    <row r="6" spans="2:21" x14ac:dyDescent="0.3">
      <c r="B6" s="182" t="str">
        <f>SETUP!S4</f>
        <v>Allotments</v>
      </c>
      <c r="C6" s="116">
        <f>IF(SUMIFS(Receipts!$H:$H,Receipts!$I:$I,"="&amp;$B6,Receipts!$E:$E,"&gt;="&amp;C$4,Receipts!$E:$E,"&lt;"&amp;EDATE(C$4,1))=0,"",
((SUMIFS(Receipts!$H:$H,Receipts!$I:$I,"="&amp;$B6,Receipts!$E:$E,"&gt;="&amp;C$4,Receipts!$E:$E,"&lt;"&amp;EDATE(C$4,1)))))</f>
        <v>195</v>
      </c>
      <c r="D6" s="116" t="str">
        <f>IF(SUMIFS(Receipts!$H:$H,Receipts!$I:$I,"="&amp;$B6,Receipts!$E:$E,"&gt;="&amp;D$4,Receipts!$E:$E,"&lt;"&amp;EDATE(D$4,1))=0,"",
((SUMIFS(Receipts!$H:$H,Receipts!$I:$I,"="&amp;$B6,Receipts!$E:$E,"&gt;="&amp;D$4,Receipts!$E:$E,"&lt;"&amp;EDATE(D$4,1)))))</f>
        <v/>
      </c>
      <c r="E6" s="116" t="str">
        <f>IF(SUMIFS(Receipts!$H:$H,Receipts!$I:$I,"="&amp;$B6,Receipts!$E:$E,"&gt;="&amp;E$4,Receipts!$E:$E,"&lt;"&amp;EDATE(E$4,1))=0,"",
((SUMIFS(Receipts!$H:$H,Receipts!$I:$I,"="&amp;$B6,Receipts!$E:$E,"&gt;="&amp;E$4,Receipts!$E:$E,"&lt;"&amp;EDATE(E$4,1)))))</f>
        <v/>
      </c>
      <c r="F6" s="116" t="str">
        <f>IF(SUMIFS(Receipts!$H:$H,Receipts!$I:$I,"="&amp;$B6,Receipts!$E:$E,"&gt;="&amp;F$4,Receipts!$E:$E,"&lt;"&amp;EDATE(F$4,1))=0,"",
((SUMIFS(Receipts!$H:$H,Receipts!$I:$I,"="&amp;$B6,Receipts!$E:$E,"&gt;="&amp;F$4,Receipts!$E:$E,"&lt;"&amp;EDATE(F$4,1)))))</f>
        <v/>
      </c>
      <c r="G6" s="116" t="str">
        <f>IF(SUMIFS(Receipts!$H:$H,Receipts!$I:$I,"="&amp;$B6,Receipts!$E:$E,"&gt;="&amp;G$4,Receipts!$E:$E,"&lt;"&amp;EDATE(G$4,1))=0,"",
((SUMIFS(Receipts!$H:$H,Receipts!$I:$I,"="&amp;$B6,Receipts!$E:$E,"&gt;="&amp;G$4,Receipts!$E:$E,"&lt;"&amp;EDATE(G$4,1)))))</f>
        <v/>
      </c>
      <c r="H6" s="116" t="str">
        <f>IF(SUMIFS(Receipts!$H:$H,Receipts!$I:$I,"="&amp;$B6,Receipts!$E:$E,"&gt;="&amp;H$4,Receipts!$E:$E,"&lt;"&amp;EDATE(H$4,1))=0,"",
((SUMIFS(Receipts!$H:$H,Receipts!$I:$I,"="&amp;$B6,Receipts!$E:$E,"&gt;="&amp;H$4,Receipts!$E:$E,"&lt;"&amp;EDATE(H$4,1)))))</f>
        <v/>
      </c>
      <c r="I6" s="116" t="str">
        <f>IF(SUMIFS(Receipts!$H:$H,Receipts!$I:$I,"="&amp;$B6,Receipts!$E:$E,"&gt;="&amp;I$4,Receipts!$E:$E,"&lt;"&amp;EDATE(I$4,1))=0,"",
((SUMIFS(Receipts!$H:$H,Receipts!$I:$I,"="&amp;$B6,Receipts!$E:$E,"&gt;="&amp;I$4,Receipts!$E:$E,"&lt;"&amp;EDATE(I$4,1)))))</f>
        <v/>
      </c>
      <c r="J6" s="116" t="str">
        <f>IF(SUMIFS(Receipts!$H:$H,Receipts!$I:$I,"="&amp;$B6,Receipts!$E:$E,"&gt;="&amp;J$4,Receipts!$E:$E,"&lt;"&amp;EDATE(J$4,1))=0,"",
((SUMIFS(Receipts!$H:$H,Receipts!$I:$I,"="&amp;$B6,Receipts!$E:$E,"&gt;="&amp;J$4,Receipts!$E:$E,"&lt;"&amp;EDATE(J$4,1)))))</f>
        <v/>
      </c>
      <c r="K6" s="116" t="str">
        <f>IF(SUMIFS(Receipts!$H:$H,Receipts!$I:$I,"="&amp;$B6,Receipts!$E:$E,"&gt;="&amp;K$4,Receipts!$E:$E,"&lt;"&amp;EDATE(K$4,1))=0,"",
((SUMIFS(Receipts!$H:$H,Receipts!$I:$I,"="&amp;$B6,Receipts!$E:$E,"&gt;="&amp;K$4,Receipts!$E:$E,"&lt;"&amp;EDATE(K$4,1)))))</f>
        <v/>
      </c>
      <c r="L6" s="116" t="str">
        <f>IF(SUMIFS(Receipts!$H:$H,Receipts!$I:$I,"="&amp;$B6,Receipts!$E:$E,"&gt;="&amp;L$4,Receipts!$E:$E,"&lt;"&amp;EDATE(L$4,1))=0,"",
((SUMIFS(Receipts!$H:$H,Receipts!$I:$I,"="&amp;$B6,Receipts!$E:$E,"&gt;="&amp;L$4,Receipts!$E:$E,"&lt;"&amp;EDATE(L$4,1)))))</f>
        <v/>
      </c>
      <c r="M6" s="116" t="str">
        <f>IF(SUMIFS(Receipts!$H:$H,Receipts!$I:$I,"="&amp;$B6,Receipts!$E:$E,"&gt;="&amp;M$4,Receipts!$E:$E,"&lt;"&amp;EDATE(M$4,1))=0,"",
((SUMIFS(Receipts!$H:$H,Receipts!$I:$I,"="&amp;$B6,Receipts!$E:$E,"&gt;="&amp;M$4,Receipts!$E:$E,"&lt;"&amp;EDATE(M$4,1)))))</f>
        <v/>
      </c>
      <c r="N6" s="116" t="str">
        <f>IF(SUMIFS(Receipts!$H:$H,Receipts!$I:$I,"="&amp;$B6,Receipts!$E:$E,"&gt;="&amp;N$4,Receipts!$E:$E,"&lt;"&amp;EDATE(N$4,1))=0,"",
((SUMIFS(Receipts!$H:$H,Receipts!$I:$I,"="&amp;$B6,Receipts!$E:$E,"&gt;="&amp;N$4,Receipts!$E:$E,"&lt;"&amp;EDATE(N$4,1)))))</f>
        <v/>
      </c>
      <c r="O6" s="116">
        <f>SUM(C6:N6)</f>
        <v>195</v>
      </c>
      <c r="P6" s="116">
        <f>SUMIFS(Receipts!$H:$H,Receipts!$I:$I,"="&amp;$B6,Receipts!$E:$E,"="&amp;"")</f>
        <v>0</v>
      </c>
      <c r="Q6" s="116">
        <f>SUM(O6:P6)</f>
        <v>195</v>
      </c>
      <c r="R6" s="116">
        <f>VLOOKUP(B6,SETUP!S:V,4,FALSE)</f>
        <v>1235</v>
      </c>
      <c r="S6" s="116">
        <f>Q6-R6</f>
        <v>-1040</v>
      </c>
      <c r="T6" s="177">
        <f t="shared" ref="T6:T20" si="2">IF(Q6=0,0,Q6/Q$23)</f>
        <v>1.1420673844355193E-3</v>
      </c>
    </row>
    <row r="7" spans="2:21" x14ac:dyDescent="0.3">
      <c r="B7" s="182" t="str">
        <f>SETUP!S5</f>
        <v>Burial Fees</v>
      </c>
      <c r="C7" s="116">
        <f>IF(SUMIFS(Receipts!$H:$H,Receipts!$I:$I,"="&amp;$B7,Receipts!$E:$E,"&gt;="&amp;C$4,Receipts!$E:$E,"&lt;"&amp;EDATE(C$4,1))=0,"",
((SUMIFS(Receipts!$H:$H,Receipts!$I:$I,"="&amp;$B7,Receipts!$E:$E,"&gt;="&amp;C$4,Receipts!$E:$E,"&lt;"&amp;EDATE(C$4,1)))))</f>
        <v>3971</v>
      </c>
      <c r="D7" s="116" t="str">
        <f>IF(SUMIFS(Receipts!$H:$H,Receipts!$I:$I,"="&amp;$B7,Receipts!$E:$E,"&gt;="&amp;D$4,Receipts!$E:$E,"&lt;"&amp;EDATE(D$4,1))=0,"",
((SUMIFS(Receipts!$H:$H,Receipts!$I:$I,"="&amp;$B7,Receipts!$E:$E,"&gt;="&amp;D$4,Receipts!$E:$E,"&lt;"&amp;EDATE(D$4,1)))))</f>
        <v/>
      </c>
      <c r="E7" s="116" t="str">
        <f>IF(SUMIFS(Receipts!$H:$H,Receipts!$I:$I,"="&amp;$B7,Receipts!$E:$E,"&gt;="&amp;E$4,Receipts!$E:$E,"&lt;"&amp;EDATE(E$4,1))=0,"",
((SUMIFS(Receipts!$H:$H,Receipts!$I:$I,"="&amp;$B7,Receipts!$E:$E,"&gt;="&amp;E$4,Receipts!$E:$E,"&lt;"&amp;EDATE(E$4,1)))))</f>
        <v/>
      </c>
      <c r="F7" s="116" t="str">
        <f>IF(SUMIFS(Receipts!$H:$H,Receipts!$I:$I,"="&amp;$B7,Receipts!$E:$E,"&gt;="&amp;F$4,Receipts!$E:$E,"&lt;"&amp;EDATE(F$4,1))=0,"",
((SUMIFS(Receipts!$H:$H,Receipts!$I:$I,"="&amp;$B7,Receipts!$E:$E,"&gt;="&amp;F$4,Receipts!$E:$E,"&lt;"&amp;EDATE(F$4,1)))))</f>
        <v/>
      </c>
      <c r="G7" s="116" t="str">
        <f>IF(SUMIFS(Receipts!$H:$H,Receipts!$I:$I,"="&amp;$B7,Receipts!$E:$E,"&gt;="&amp;G$4,Receipts!$E:$E,"&lt;"&amp;EDATE(G$4,1))=0,"",
((SUMIFS(Receipts!$H:$H,Receipts!$I:$I,"="&amp;$B7,Receipts!$E:$E,"&gt;="&amp;G$4,Receipts!$E:$E,"&lt;"&amp;EDATE(G$4,1)))))</f>
        <v/>
      </c>
      <c r="H7" s="116" t="str">
        <f>IF(SUMIFS(Receipts!$H:$H,Receipts!$I:$I,"="&amp;$B7,Receipts!$E:$E,"&gt;="&amp;H$4,Receipts!$E:$E,"&lt;"&amp;EDATE(H$4,1))=0,"",
((SUMIFS(Receipts!$H:$H,Receipts!$I:$I,"="&amp;$B7,Receipts!$E:$E,"&gt;="&amp;H$4,Receipts!$E:$E,"&lt;"&amp;EDATE(H$4,1)))))</f>
        <v/>
      </c>
      <c r="I7" s="116" t="str">
        <f>IF(SUMIFS(Receipts!$H:$H,Receipts!$I:$I,"="&amp;$B7,Receipts!$E:$E,"&gt;="&amp;I$4,Receipts!$E:$E,"&lt;"&amp;EDATE(I$4,1))=0,"",
((SUMIFS(Receipts!$H:$H,Receipts!$I:$I,"="&amp;$B7,Receipts!$E:$E,"&gt;="&amp;I$4,Receipts!$E:$E,"&lt;"&amp;EDATE(I$4,1)))))</f>
        <v/>
      </c>
      <c r="J7" s="116" t="str">
        <f>IF(SUMIFS(Receipts!$H:$H,Receipts!$I:$I,"="&amp;$B7,Receipts!$E:$E,"&gt;="&amp;J$4,Receipts!$E:$E,"&lt;"&amp;EDATE(J$4,1))=0,"",
((SUMIFS(Receipts!$H:$H,Receipts!$I:$I,"="&amp;$B7,Receipts!$E:$E,"&gt;="&amp;J$4,Receipts!$E:$E,"&lt;"&amp;EDATE(J$4,1)))))</f>
        <v/>
      </c>
      <c r="K7" s="116" t="str">
        <f>IF(SUMIFS(Receipts!$H:$H,Receipts!$I:$I,"="&amp;$B7,Receipts!$E:$E,"&gt;="&amp;K$4,Receipts!$E:$E,"&lt;"&amp;EDATE(K$4,1))=0,"",
((SUMIFS(Receipts!$H:$H,Receipts!$I:$I,"="&amp;$B7,Receipts!$E:$E,"&gt;="&amp;K$4,Receipts!$E:$E,"&lt;"&amp;EDATE(K$4,1)))))</f>
        <v/>
      </c>
      <c r="L7" s="116" t="str">
        <f>IF(SUMIFS(Receipts!$H:$H,Receipts!$I:$I,"="&amp;$B7,Receipts!$E:$E,"&gt;="&amp;L$4,Receipts!$E:$E,"&lt;"&amp;EDATE(L$4,1))=0,"",
((SUMIFS(Receipts!$H:$H,Receipts!$I:$I,"="&amp;$B7,Receipts!$E:$E,"&gt;="&amp;L$4,Receipts!$E:$E,"&lt;"&amp;EDATE(L$4,1)))))</f>
        <v/>
      </c>
      <c r="M7" s="116" t="str">
        <f>IF(SUMIFS(Receipts!$H:$H,Receipts!$I:$I,"="&amp;$B7,Receipts!$E:$E,"&gt;="&amp;M$4,Receipts!$E:$E,"&lt;"&amp;EDATE(M$4,1))=0,"",
((SUMIFS(Receipts!$H:$H,Receipts!$I:$I,"="&amp;$B7,Receipts!$E:$E,"&gt;="&amp;M$4,Receipts!$E:$E,"&lt;"&amp;EDATE(M$4,1)))))</f>
        <v/>
      </c>
      <c r="N7" s="116" t="str">
        <f>IF(SUMIFS(Receipts!$H:$H,Receipts!$I:$I,"="&amp;$B7,Receipts!$E:$E,"&gt;="&amp;N$4,Receipts!$E:$E,"&lt;"&amp;EDATE(N$4,1))=0,"",
((SUMIFS(Receipts!$H:$H,Receipts!$I:$I,"="&amp;$B7,Receipts!$E:$E,"&gt;="&amp;N$4,Receipts!$E:$E,"&lt;"&amp;EDATE(N$4,1)))))</f>
        <v/>
      </c>
      <c r="O7" s="116">
        <f t="shared" ref="O7:O13" si="3">SUM(C7:N7)</f>
        <v>3971</v>
      </c>
      <c r="P7" s="116">
        <f>SUMIFS(Receipts!$H:$H,Receipts!$I:$I,"="&amp;$B7,Receipts!$E:$E,"="&amp;"")</f>
        <v>0</v>
      </c>
      <c r="Q7" s="116">
        <f t="shared" ref="Q7:Q13" si="4">SUM(O7:P7)</f>
        <v>3971</v>
      </c>
      <c r="R7" s="116">
        <f>VLOOKUP(B7,SETUP!S:V,4,FALSE)</f>
        <v>30000</v>
      </c>
      <c r="S7" s="116">
        <f t="shared" ref="S7:S13" si="5">Q7-R7</f>
        <v>-26029</v>
      </c>
      <c r="T7" s="177">
        <f t="shared" si="2"/>
        <v>2.3257177351761266E-2</v>
      </c>
    </row>
    <row r="8" spans="2:21" x14ac:dyDescent="0.3">
      <c r="B8" s="182" t="str">
        <f>SETUP!S6</f>
        <v>CW&amp;CC</v>
      </c>
      <c r="C8" s="116" t="str">
        <f>IF(SUMIFS(Receipts!$H:$H,Receipts!$I:$I,"="&amp;$B8,Receipts!$E:$E,"&gt;="&amp;C$4,Receipts!$E:$E,"&lt;"&amp;EDATE(C$4,1))=0,"",
((SUMIFS(Receipts!$H:$H,Receipts!$I:$I,"="&amp;$B8,Receipts!$E:$E,"&gt;="&amp;C$4,Receipts!$E:$E,"&lt;"&amp;EDATE(C$4,1)))))</f>
        <v/>
      </c>
      <c r="D8" s="116" t="str">
        <f>IF(SUMIFS(Receipts!$H:$H,Receipts!$I:$I,"="&amp;$B8,Receipts!$E:$E,"&gt;="&amp;D$4,Receipts!$E:$E,"&lt;"&amp;EDATE(D$4,1))=0,"",
((SUMIFS(Receipts!$H:$H,Receipts!$I:$I,"="&amp;$B8,Receipts!$E:$E,"&gt;="&amp;D$4,Receipts!$E:$E,"&lt;"&amp;EDATE(D$4,1)))))</f>
        <v/>
      </c>
      <c r="E8" s="116" t="str">
        <f>IF(SUMIFS(Receipts!$H:$H,Receipts!$I:$I,"="&amp;$B8,Receipts!$E:$E,"&gt;="&amp;E$4,Receipts!$E:$E,"&lt;"&amp;EDATE(E$4,1))=0,"",
((SUMIFS(Receipts!$H:$H,Receipts!$I:$I,"="&amp;$B8,Receipts!$E:$E,"&gt;="&amp;E$4,Receipts!$E:$E,"&lt;"&amp;EDATE(E$4,1)))))</f>
        <v/>
      </c>
      <c r="F8" s="116" t="str">
        <f>IF(SUMIFS(Receipts!$H:$H,Receipts!$I:$I,"="&amp;$B8,Receipts!$E:$E,"&gt;="&amp;F$4,Receipts!$E:$E,"&lt;"&amp;EDATE(F$4,1))=0,"",
((SUMIFS(Receipts!$H:$H,Receipts!$I:$I,"="&amp;$B8,Receipts!$E:$E,"&gt;="&amp;F$4,Receipts!$E:$E,"&lt;"&amp;EDATE(F$4,1)))))</f>
        <v/>
      </c>
      <c r="G8" s="116" t="str">
        <f>IF(SUMIFS(Receipts!$H:$H,Receipts!$I:$I,"="&amp;$B8,Receipts!$E:$E,"&gt;="&amp;G$4,Receipts!$E:$E,"&lt;"&amp;EDATE(G$4,1))=0,"",
((SUMIFS(Receipts!$H:$H,Receipts!$I:$I,"="&amp;$B8,Receipts!$E:$E,"&gt;="&amp;G$4,Receipts!$E:$E,"&lt;"&amp;EDATE(G$4,1)))))</f>
        <v/>
      </c>
      <c r="H8" s="116" t="str">
        <f>IF(SUMIFS(Receipts!$H:$H,Receipts!$I:$I,"="&amp;$B8,Receipts!$E:$E,"&gt;="&amp;H$4,Receipts!$E:$E,"&lt;"&amp;EDATE(H$4,1))=0,"",
((SUMIFS(Receipts!$H:$H,Receipts!$I:$I,"="&amp;$B8,Receipts!$E:$E,"&gt;="&amp;H$4,Receipts!$E:$E,"&lt;"&amp;EDATE(H$4,1)))))</f>
        <v/>
      </c>
      <c r="I8" s="116" t="str">
        <f>IF(SUMIFS(Receipts!$H:$H,Receipts!$I:$I,"="&amp;$B8,Receipts!$E:$E,"&gt;="&amp;I$4,Receipts!$E:$E,"&lt;"&amp;EDATE(I$4,1))=0,"",
((SUMIFS(Receipts!$H:$H,Receipts!$I:$I,"="&amp;$B8,Receipts!$E:$E,"&gt;="&amp;I$4,Receipts!$E:$E,"&lt;"&amp;EDATE(I$4,1)))))</f>
        <v/>
      </c>
      <c r="J8" s="116" t="str">
        <f>IF(SUMIFS(Receipts!$H:$H,Receipts!$I:$I,"="&amp;$B8,Receipts!$E:$E,"&gt;="&amp;J$4,Receipts!$E:$E,"&lt;"&amp;EDATE(J$4,1))=0,"",
((SUMIFS(Receipts!$H:$H,Receipts!$I:$I,"="&amp;$B8,Receipts!$E:$E,"&gt;="&amp;J$4,Receipts!$E:$E,"&lt;"&amp;EDATE(J$4,1)))))</f>
        <v/>
      </c>
      <c r="K8" s="116" t="str">
        <f>IF(SUMIFS(Receipts!$H:$H,Receipts!$I:$I,"="&amp;$B8,Receipts!$E:$E,"&gt;="&amp;K$4,Receipts!$E:$E,"&lt;"&amp;EDATE(K$4,1))=0,"",
((SUMIFS(Receipts!$H:$H,Receipts!$I:$I,"="&amp;$B8,Receipts!$E:$E,"&gt;="&amp;K$4,Receipts!$E:$E,"&lt;"&amp;EDATE(K$4,1)))))</f>
        <v/>
      </c>
      <c r="L8" s="116" t="str">
        <f>IF(SUMIFS(Receipts!$H:$H,Receipts!$I:$I,"="&amp;$B8,Receipts!$E:$E,"&gt;="&amp;L$4,Receipts!$E:$E,"&lt;"&amp;EDATE(L$4,1))=0,"",
((SUMIFS(Receipts!$H:$H,Receipts!$I:$I,"="&amp;$B8,Receipts!$E:$E,"&gt;="&amp;L$4,Receipts!$E:$E,"&lt;"&amp;EDATE(L$4,1)))))</f>
        <v/>
      </c>
      <c r="M8" s="116" t="str">
        <f>IF(SUMIFS(Receipts!$H:$H,Receipts!$I:$I,"="&amp;$B8,Receipts!$E:$E,"&gt;="&amp;M$4,Receipts!$E:$E,"&lt;"&amp;EDATE(M$4,1))=0,"",
((SUMIFS(Receipts!$H:$H,Receipts!$I:$I,"="&amp;$B8,Receipts!$E:$E,"&gt;="&amp;M$4,Receipts!$E:$E,"&lt;"&amp;EDATE(M$4,1)))))</f>
        <v/>
      </c>
      <c r="N8" s="116" t="str">
        <f>IF(SUMIFS(Receipts!$H:$H,Receipts!$I:$I,"="&amp;$B8,Receipts!$E:$E,"&gt;="&amp;N$4,Receipts!$E:$E,"&lt;"&amp;EDATE(N$4,1))=0,"",
((SUMIFS(Receipts!$H:$H,Receipts!$I:$I,"="&amp;$B8,Receipts!$E:$E,"&gt;="&amp;N$4,Receipts!$E:$E,"&lt;"&amp;EDATE(N$4,1)))))</f>
        <v/>
      </c>
      <c r="O8" s="116">
        <f t="shared" si="3"/>
        <v>0</v>
      </c>
      <c r="P8" s="116">
        <f>SUMIFS(Receipts!$H:$H,Receipts!$I:$I,"="&amp;$B8,Receipts!$E:$E,"="&amp;"")</f>
        <v>0</v>
      </c>
      <c r="Q8" s="116">
        <f t="shared" si="4"/>
        <v>0</v>
      </c>
      <c r="R8" s="116">
        <f>VLOOKUP(B8,SETUP!S:V,4,FALSE)</f>
        <v>1000</v>
      </c>
      <c r="S8" s="116">
        <f t="shared" si="5"/>
        <v>-1000</v>
      </c>
      <c r="T8" s="177">
        <f t="shared" si="2"/>
        <v>0</v>
      </c>
    </row>
    <row r="9" spans="2:21" x14ac:dyDescent="0.3">
      <c r="B9" s="182" t="str">
        <f>SETUP!S7</f>
        <v>Interest</v>
      </c>
      <c r="C9" s="116">
        <f>IF(SUMIFS(Receipts!$H:$H,Receipts!$I:$I,"="&amp;$B9,Receipts!$E:$E,"&gt;="&amp;C$4,Receipts!$E:$E,"&lt;"&amp;EDATE(C$4,1))=0,"",
((SUMIFS(Receipts!$H:$H,Receipts!$I:$I,"="&amp;$B9,Receipts!$E:$E,"&gt;="&amp;C$4,Receipts!$E:$E,"&lt;"&amp;EDATE(C$4,1)))))</f>
        <v>63.05</v>
      </c>
      <c r="D9" s="116">
        <f>IF(SUMIFS(Receipts!$H:$H,Receipts!$I:$I,"="&amp;$B9,Receipts!$E:$E,"&gt;="&amp;D$4,Receipts!$E:$E,"&lt;"&amp;EDATE(D$4,1))=0,"",
((SUMIFS(Receipts!$H:$H,Receipts!$I:$I,"="&amp;$B9,Receipts!$E:$E,"&gt;="&amp;D$4,Receipts!$E:$E,"&lt;"&amp;EDATE(D$4,1)))))</f>
        <v>65.16</v>
      </c>
      <c r="E9" s="116" t="str">
        <f>IF(SUMIFS(Receipts!$H:$H,Receipts!$I:$I,"="&amp;$B9,Receipts!$E:$E,"&gt;="&amp;E$4,Receipts!$E:$E,"&lt;"&amp;EDATE(E$4,1))=0,"",
((SUMIFS(Receipts!$H:$H,Receipts!$I:$I,"="&amp;$B9,Receipts!$E:$E,"&gt;="&amp;E$4,Receipts!$E:$E,"&lt;"&amp;EDATE(E$4,1)))))</f>
        <v/>
      </c>
      <c r="F9" s="116" t="str">
        <f>IF(SUMIFS(Receipts!$H:$H,Receipts!$I:$I,"="&amp;$B9,Receipts!$E:$E,"&gt;="&amp;F$4,Receipts!$E:$E,"&lt;"&amp;EDATE(F$4,1))=0,"",
((SUMIFS(Receipts!$H:$H,Receipts!$I:$I,"="&amp;$B9,Receipts!$E:$E,"&gt;="&amp;F$4,Receipts!$E:$E,"&lt;"&amp;EDATE(F$4,1)))))</f>
        <v/>
      </c>
      <c r="G9" s="116" t="str">
        <f>IF(SUMIFS(Receipts!$H:$H,Receipts!$I:$I,"="&amp;$B9,Receipts!$E:$E,"&gt;="&amp;G$4,Receipts!$E:$E,"&lt;"&amp;EDATE(G$4,1))=0,"",
((SUMIFS(Receipts!$H:$H,Receipts!$I:$I,"="&amp;$B9,Receipts!$E:$E,"&gt;="&amp;G$4,Receipts!$E:$E,"&lt;"&amp;EDATE(G$4,1)))))</f>
        <v/>
      </c>
      <c r="H9" s="116" t="str">
        <f>IF(SUMIFS(Receipts!$H:$H,Receipts!$I:$I,"="&amp;$B9,Receipts!$E:$E,"&gt;="&amp;H$4,Receipts!$E:$E,"&lt;"&amp;EDATE(H$4,1))=0,"",
((SUMIFS(Receipts!$H:$H,Receipts!$I:$I,"="&amp;$B9,Receipts!$E:$E,"&gt;="&amp;H$4,Receipts!$E:$E,"&lt;"&amp;EDATE(H$4,1)))))</f>
        <v/>
      </c>
      <c r="I9" s="116" t="str">
        <f>IF(SUMIFS(Receipts!$H:$H,Receipts!$I:$I,"="&amp;$B9,Receipts!$E:$E,"&gt;="&amp;I$4,Receipts!$E:$E,"&lt;"&amp;EDATE(I$4,1))=0,"",
((SUMIFS(Receipts!$H:$H,Receipts!$I:$I,"="&amp;$B9,Receipts!$E:$E,"&gt;="&amp;I$4,Receipts!$E:$E,"&lt;"&amp;EDATE(I$4,1)))))</f>
        <v/>
      </c>
      <c r="J9" s="116" t="str">
        <f>IF(SUMIFS(Receipts!$H:$H,Receipts!$I:$I,"="&amp;$B9,Receipts!$E:$E,"&gt;="&amp;J$4,Receipts!$E:$E,"&lt;"&amp;EDATE(J$4,1))=0,"",
((SUMIFS(Receipts!$H:$H,Receipts!$I:$I,"="&amp;$B9,Receipts!$E:$E,"&gt;="&amp;J$4,Receipts!$E:$E,"&lt;"&amp;EDATE(J$4,1)))))</f>
        <v/>
      </c>
      <c r="K9" s="116" t="str">
        <f>IF(SUMIFS(Receipts!$H:$H,Receipts!$I:$I,"="&amp;$B9,Receipts!$E:$E,"&gt;="&amp;K$4,Receipts!$E:$E,"&lt;"&amp;EDATE(K$4,1))=0,"",
((SUMIFS(Receipts!$H:$H,Receipts!$I:$I,"="&amp;$B9,Receipts!$E:$E,"&gt;="&amp;K$4,Receipts!$E:$E,"&lt;"&amp;EDATE(K$4,1)))))</f>
        <v/>
      </c>
      <c r="L9" s="116" t="str">
        <f>IF(SUMIFS(Receipts!$H:$H,Receipts!$I:$I,"="&amp;$B9,Receipts!$E:$E,"&gt;="&amp;L$4,Receipts!$E:$E,"&lt;"&amp;EDATE(L$4,1))=0,"",
((SUMIFS(Receipts!$H:$H,Receipts!$I:$I,"="&amp;$B9,Receipts!$E:$E,"&gt;="&amp;L$4,Receipts!$E:$E,"&lt;"&amp;EDATE(L$4,1)))))</f>
        <v/>
      </c>
      <c r="M9" s="116" t="str">
        <f>IF(SUMIFS(Receipts!$H:$H,Receipts!$I:$I,"="&amp;$B9,Receipts!$E:$E,"&gt;="&amp;M$4,Receipts!$E:$E,"&lt;"&amp;EDATE(M$4,1))=0,"",
((SUMIFS(Receipts!$H:$H,Receipts!$I:$I,"="&amp;$B9,Receipts!$E:$E,"&gt;="&amp;M$4,Receipts!$E:$E,"&lt;"&amp;EDATE(M$4,1)))))</f>
        <v/>
      </c>
      <c r="N9" s="116" t="str">
        <f>IF(SUMIFS(Receipts!$H:$H,Receipts!$I:$I,"="&amp;$B9,Receipts!$E:$E,"&gt;="&amp;N$4,Receipts!$E:$E,"&lt;"&amp;EDATE(N$4,1))=0,"",
((SUMIFS(Receipts!$H:$H,Receipts!$I:$I,"="&amp;$B9,Receipts!$E:$E,"&gt;="&amp;N$4,Receipts!$E:$E,"&lt;"&amp;EDATE(N$4,1)))))</f>
        <v/>
      </c>
      <c r="O9" s="116">
        <f t="shared" ref="O9" si="6">SUM(C9:N9)</f>
        <v>128.20999999999998</v>
      </c>
      <c r="P9" s="116">
        <f>SUMIFS(Receipts!$H:$H,Receipts!$I:$I,"="&amp;$B9,Receipts!$E:$E,"="&amp;"")</f>
        <v>0</v>
      </c>
      <c r="Q9" s="116">
        <f t="shared" ref="Q9" si="7">SUM(O9:P9)</f>
        <v>128.20999999999998</v>
      </c>
      <c r="R9" s="116">
        <f>VLOOKUP(B9,SETUP!S:V,4,FALSE)</f>
        <v>1300</v>
      </c>
      <c r="S9" s="116">
        <f t="shared" ref="S9" si="8">Q9-R9</f>
        <v>-1171.79</v>
      </c>
      <c r="T9" s="177">
        <f t="shared" si="2"/>
        <v>7.5089466337680975E-4</v>
      </c>
    </row>
    <row r="10" spans="2:21" x14ac:dyDescent="0.3">
      <c r="B10" s="182" t="str">
        <f>SETUP!S8</f>
        <v>Misc</v>
      </c>
      <c r="C10" s="116" t="str">
        <f>IF(SUMIFS(Receipts!$H:$H,Receipts!$I:$I,"="&amp;$B10,Receipts!$E:$E,"&gt;="&amp;C$4,Receipts!$E:$E,"&lt;"&amp;EDATE(C$4,1))=0,"",
((SUMIFS(Receipts!$H:$H,Receipts!$I:$I,"="&amp;$B10,Receipts!$E:$E,"&gt;="&amp;C$4,Receipts!$E:$E,"&lt;"&amp;EDATE(C$4,1)))))</f>
        <v/>
      </c>
      <c r="D10" s="116" t="str">
        <f>IF(SUMIFS(Receipts!$H:$H,Receipts!$I:$I,"="&amp;$B10,Receipts!$E:$E,"&gt;="&amp;D$4,Receipts!$E:$E,"&lt;"&amp;EDATE(D$4,1))=0,"",
((SUMIFS(Receipts!$H:$H,Receipts!$I:$I,"="&amp;$B10,Receipts!$E:$E,"&gt;="&amp;D$4,Receipts!$E:$E,"&lt;"&amp;EDATE(D$4,1)))))</f>
        <v/>
      </c>
      <c r="E10" s="116" t="str">
        <f>IF(SUMIFS(Receipts!$H:$H,Receipts!$I:$I,"="&amp;$B10,Receipts!$E:$E,"&gt;="&amp;E$4,Receipts!$E:$E,"&lt;"&amp;EDATE(E$4,1))=0,"",
((SUMIFS(Receipts!$H:$H,Receipts!$I:$I,"="&amp;$B10,Receipts!$E:$E,"&gt;="&amp;E$4,Receipts!$E:$E,"&lt;"&amp;EDATE(E$4,1)))))</f>
        <v/>
      </c>
      <c r="F10" s="116" t="str">
        <f>IF(SUMIFS(Receipts!$H:$H,Receipts!$I:$I,"="&amp;$B10,Receipts!$E:$E,"&gt;="&amp;F$4,Receipts!$E:$E,"&lt;"&amp;EDATE(F$4,1))=0,"",
((SUMIFS(Receipts!$H:$H,Receipts!$I:$I,"="&amp;$B10,Receipts!$E:$E,"&gt;="&amp;F$4,Receipts!$E:$E,"&lt;"&amp;EDATE(F$4,1)))))</f>
        <v/>
      </c>
      <c r="G10" s="116" t="str">
        <f>IF(SUMIFS(Receipts!$H:$H,Receipts!$I:$I,"="&amp;$B10,Receipts!$E:$E,"&gt;="&amp;G$4,Receipts!$E:$E,"&lt;"&amp;EDATE(G$4,1))=0,"",
((SUMIFS(Receipts!$H:$H,Receipts!$I:$I,"="&amp;$B10,Receipts!$E:$E,"&gt;="&amp;G$4,Receipts!$E:$E,"&lt;"&amp;EDATE(G$4,1)))))</f>
        <v/>
      </c>
      <c r="H10" s="116" t="str">
        <f>IF(SUMIFS(Receipts!$H:$H,Receipts!$I:$I,"="&amp;$B10,Receipts!$E:$E,"&gt;="&amp;H$4,Receipts!$E:$E,"&lt;"&amp;EDATE(H$4,1))=0,"",
((SUMIFS(Receipts!$H:$H,Receipts!$I:$I,"="&amp;$B10,Receipts!$E:$E,"&gt;="&amp;H$4,Receipts!$E:$E,"&lt;"&amp;EDATE(H$4,1)))))</f>
        <v/>
      </c>
      <c r="I10" s="116" t="str">
        <f>IF(SUMIFS(Receipts!$H:$H,Receipts!$I:$I,"="&amp;$B10,Receipts!$E:$E,"&gt;="&amp;I$4,Receipts!$E:$E,"&lt;"&amp;EDATE(I$4,1))=0,"",
((SUMIFS(Receipts!$H:$H,Receipts!$I:$I,"="&amp;$B10,Receipts!$E:$E,"&gt;="&amp;I$4,Receipts!$E:$E,"&lt;"&amp;EDATE(I$4,1)))))</f>
        <v/>
      </c>
      <c r="J10" s="116" t="str">
        <f>IF(SUMIFS(Receipts!$H:$H,Receipts!$I:$I,"="&amp;$B10,Receipts!$E:$E,"&gt;="&amp;J$4,Receipts!$E:$E,"&lt;"&amp;EDATE(J$4,1))=0,"",
((SUMIFS(Receipts!$H:$H,Receipts!$I:$I,"="&amp;$B10,Receipts!$E:$E,"&gt;="&amp;J$4,Receipts!$E:$E,"&lt;"&amp;EDATE(J$4,1)))))</f>
        <v/>
      </c>
      <c r="K10" s="116" t="str">
        <f>IF(SUMIFS(Receipts!$H:$H,Receipts!$I:$I,"="&amp;$B10,Receipts!$E:$E,"&gt;="&amp;K$4,Receipts!$E:$E,"&lt;"&amp;EDATE(K$4,1))=0,"",
((SUMIFS(Receipts!$H:$H,Receipts!$I:$I,"="&amp;$B10,Receipts!$E:$E,"&gt;="&amp;K$4,Receipts!$E:$E,"&lt;"&amp;EDATE(K$4,1)))))</f>
        <v/>
      </c>
      <c r="L10" s="116" t="str">
        <f>IF(SUMIFS(Receipts!$H:$H,Receipts!$I:$I,"="&amp;$B10,Receipts!$E:$E,"&gt;="&amp;L$4,Receipts!$E:$E,"&lt;"&amp;EDATE(L$4,1))=0,"",
((SUMIFS(Receipts!$H:$H,Receipts!$I:$I,"="&amp;$B10,Receipts!$E:$E,"&gt;="&amp;L$4,Receipts!$E:$E,"&lt;"&amp;EDATE(L$4,1)))))</f>
        <v/>
      </c>
      <c r="M10" s="116" t="str">
        <f>IF(SUMIFS(Receipts!$H:$H,Receipts!$I:$I,"="&amp;$B10,Receipts!$E:$E,"&gt;="&amp;M$4,Receipts!$E:$E,"&lt;"&amp;EDATE(M$4,1))=0,"",
((SUMIFS(Receipts!$H:$H,Receipts!$I:$I,"="&amp;$B10,Receipts!$E:$E,"&gt;="&amp;M$4,Receipts!$E:$E,"&lt;"&amp;EDATE(M$4,1)))))</f>
        <v/>
      </c>
      <c r="N10" s="116" t="str">
        <f>IF(SUMIFS(Receipts!$H:$H,Receipts!$I:$I,"="&amp;$B10,Receipts!$E:$E,"&gt;="&amp;N$4,Receipts!$E:$E,"&lt;"&amp;EDATE(N$4,1))=0,"",
((SUMIFS(Receipts!$H:$H,Receipts!$I:$I,"="&amp;$B10,Receipts!$E:$E,"&gt;="&amp;N$4,Receipts!$E:$E,"&lt;"&amp;EDATE(N$4,1)))))</f>
        <v/>
      </c>
      <c r="O10" s="116">
        <f t="shared" si="3"/>
        <v>0</v>
      </c>
      <c r="P10" s="116">
        <f>SUMIFS(Receipts!$H:$H,Receipts!$I:$I,"="&amp;$B10,Receipts!$E:$E,"="&amp;"")</f>
        <v>0</v>
      </c>
      <c r="Q10" s="116">
        <f t="shared" si="4"/>
        <v>0</v>
      </c>
      <c r="R10" s="116">
        <f>VLOOKUP(B10,SETUP!S:V,4,FALSE)</f>
        <v>3000</v>
      </c>
      <c r="S10" s="116">
        <f t="shared" si="5"/>
        <v>-3000</v>
      </c>
      <c r="T10" s="177">
        <f t="shared" si="2"/>
        <v>0</v>
      </c>
    </row>
    <row r="11" spans="2:21" x14ac:dyDescent="0.3">
      <c r="B11" s="182" t="str">
        <f>SETUP!S9</f>
        <v>Precept</v>
      </c>
      <c r="C11" s="116">
        <f>IF(SUMIFS(Receipts!$H:$H,Receipts!$I:$I,"="&amp;$B11,Receipts!$E:$E,"&gt;="&amp;C$4,Receipts!$E:$E,"&lt;"&amp;EDATE(C$4,1))=0,"",
((SUMIFS(Receipts!$H:$H,Receipts!$I:$I,"="&amp;$B11,Receipts!$E:$E,"&gt;="&amp;C$4,Receipts!$E:$E,"&lt;"&amp;EDATE(C$4,1)))))</f>
        <v>155713</v>
      </c>
      <c r="D11" s="116" t="str">
        <f>IF(SUMIFS(Receipts!$H:$H,Receipts!$I:$I,"="&amp;$B11,Receipts!$E:$E,"&gt;="&amp;D$4,Receipts!$E:$E,"&lt;"&amp;EDATE(D$4,1))=0,"",
((SUMIFS(Receipts!$H:$H,Receipts!$I:$I,"="&amp;$B11,Receipts!$E:$E,"&gt;="&amp;D$4,Receipts!$E:$E,"&lt;"&amp;EDATE(D$4,1)))))</f>
        <v/>
      </c>
      <c r="E11" s="116" t="str">
        <f>IF(SUMIFS(Receipts!$H:$H,Receipts!$I:$I,"="&amp;$B11,Receipts!$E:$E,"&gt;="&amp;E$4,Receipts!$E:$E,"&lt;"&amp;EDATE(E$4,1))=0,"",
((SUMIFS(Receipts!$H:$H,Receipts!$I:$I,"="&amp;$B11,Receipts!$E:$E,"&gt;="&amp;E$4,Receipts!$E:$E,"&lt;"&amp;EDATE(E$4,1)))))</f>
        <v/>
      </c>
      <c r="F11" s="116" t="str">
        <f>IF(SUMIFS(Receipts!$H:$H,Receipts!$I:$I,"="&amp;$B11,Receipts!$E:$E,"&gt;="&amp;F$4,Receipts!$E:$E,"&lt;"&amp;EDATE(F$4,1))=0,"",
((SUMIFS(Receipts!$H:$H,Receipts!$I:$I,"="&amp;$B11,Receipts!$E:$E,"&gt;="&amp;F$4,Receipts!$E:$E,"&lt;"&amp;EDATE(F$4,1)))))</f>
        <v/>
      </c>
      <c r="G11" s="116" t="str">
        <f>IF(SUMIFS(Receipts!$H:$H,Receipts!$I:$I,"="&amp;$B11,Receipts!$E:$E,"&gt;="&amp;G$4,Receipts!$E:$E,"&lt;"&amp;EDATE(G$4,1))=0,"",
((SUMIFS(Receipts!$H:$H,Receipts!$I:$I,"="&amp;$B11,Receipts!$E:$E,"&gt;="&amp;G$4,Receipts!$E:$E,"&lt;"&amp;EDATE(G$4,1)))))</f>
        <v/>
      </c>
      <c r="H11" s="116" t="str">
        <f>IF(SUMIFS(Receipts!$H:$H,Receipts!$I:$I,"="&amp;$B11,Receipts!$E:$E,"&gt;="&amp;H$4,Receipts!$E:$E,"&lt;"&amp;EDATE(H$4,1))=0,"",
((SUMIFS(Receipts!$H:$H,Receipts!$I:$I,"="&amp;$B11,Receipts!$E:$E,"&gt;="&amp;H$4,Receipts!$E:$E,"&lt;"&amp;EDATE(H$4,1)))))</f>
        <v/>
      </c>
      <c r="I11" s="116" t="str">
        <f>IF(SUMIFS(Receipts!$H:$H,Receipts!$I:$I,"="&amp;$B11,Receipts!$E:$E,"&gt;="&amp;I$4,Receipts!$E:$E,"&lt;"&amp;EDATE(I$4,1))=0,"",
((SUMIFS(Receipts!$H:$H,Receipts!$I:$I,"="&amp;$B11,Receipts!$E:$E,"&gt;="&amp;I$4,Receipts!$E:$E,"&lt;"&amp;EDATE(I$4,1)))))</f>
        <v/>
      </c>
      <c r="J11" s="116" t="str">
        <f>IF(SUMIFS(Receipts!$H:$H,Receipts!$I:$I,"="&amp;$B11,Receipts!$E:$E,"&gt;="&amp;J$4,Receipts!$E:$E,"&lt;"&amp;EDATE(J$4,1))=0,"",
((SUMIFS(Receipts!$H:$H,Receipts!$I:$I,"="&amp;$B11,Receipts!$E:$E,"&gt;="&amp;J$4,Receipts!$E:$E,"&lt;"&amp;EDATE(J$4,1)))))</f>
        <v/>
      </c>
      <c r="K11" s="116" t="str">
        <f>IF(SUMIFS(Receipts!$H:$H,Receipts!$I:$I,"="&amp;$B11,Receipts!$E:$E,"&gt;="&amp;K$4,Receipts!$E:$E,"&lt;"&amp;EDATE(K$4,1))=0,"",
((SUMIFS(Receipts!$H:$H,Receipts!$I:$I,"="&amp;$B11,Receipts!$E:$E,"&gt;="&amp;K$4,Receipts!$E:$E,"&lt;"&amp;EDATE(K$4,1)))))</f>
        <v/>
      </c>
      <c r="L11" s="116" t="str">
        <f>IF(SUMIFS(Receipts!$H:$H,Receipts!$I:$I,"="&amp;$B11,Receipts!$E:$E,"&gt;="&amp;L$4,Receipts!$E:$E,"&lt;"&amp;EDATE(L$4,1))=0,"",
((SUMIFS(Receipts!$H:$H,Receipts!$I:$I,"="&amp;$B11,Receipts!$E:$E,"&gt;="&amp;L$4,Receipts!$E:$E,"&lt;"&amp;EDATE(L$4,1)))))</f>
        <v/>
      </c>
      <c r="M11" s="116" t="str">
        <f>IF(SUMIFS(Receipts!$H:$H,Receipts!$I:$I,"="&amp;$B11,Receipts!$E:$E,"&gt;="&amp;M$4,Receipts!$E:$E,"&lt;"&amp;EDATE(M$4,1))=0,"",
((SUMIFS(Receipts!$H:$H,Receipts!$I:$I,"="&amp;$B11,Receipts!$E:$E,"&gt;="&amp;M$4,Receipts!$E:$E,"&lt;"&amp;EDATE(M$4,1)))))</f>
        <v/>
      </c>
      <c r="N11" s="116" t="str">
        <f>IF(SUMIFS(Receipts!$H:$H,Receipts!$I:$I,"="&amp;$B11,Receipts!$E:$E,"&gt;="&amp;N$4,Receipts!$E:$E,"&lt;"&amp;EDATE(N$4,1))=0,"",
((SUMIFS(Receipts!$H:$H,Receipts!$I:$I,"="&amp;$B11,Receipts!$E:$E,"&gt;="&amp;N$4,Receipts!$E:$E,"&lt;"&amp;EDATE(N$4,1)))))</f>
        <v/>
      </c>
      <c r="O11" s="116">
        <f t="shared" si="3"/>
        <v>155713</v>
      </c>
      <c r="P11" s="116">
        <f>SUMIFS(Receipts!$H:$H,Receipts!$I:$I,"="&amp;$B11,Receipts!$E:$E,"="&amp;"")</f>
        <v>0</v>
      </c>
      <c r="Q11" s="116">
        <f t="shared" si="4"/>
        <v>155713</v>
      </c>
      <c r="R11" s="116">
        <f>VLOOKUP(B11,SETUP!S:V,4,FALSE)</f>
        <v>0</v>
      </c>
      <c r="S11" s="116">
        <f t="shared" si="5"/>
        <v>155713</v>
      </c>
      <c r="T11" s="177">
        <f t="shared" si="2"/>
        <v>0.91197301862875901</v>
      </c>
      <c r="U11" s="268" t="s">
        <v>266</v>
      </c>
    </row>
    <row r="12" spans="2:21" x14ac:dyDescent="0.3">
      <c r="B12" s="182" t="str">
        <f>SETUP!S10</f>
        <v>Room Hire</v>
      </c>
      <c r="C12" s="116" t="str">
        <f>IF(SUMIFS(Receipts!$H:$H,Receipts!$I:$I,"="&amp;$B12,Receipts!$E:$E,"&gt;="&amp;C$4,Receipts!$E:$E,"&lt;"&amp;EDATE(C$4,1))=0,"",
((SUMIFS(Receipts!$H:$H,Receipts!$I:$I,"="&amp;$B12,Receipts!$E:$E,"&gt;="&amp;C$4,Receipts!$E:$E,"&lt;"&amp;EDATE(C$4,1)))))</f>
        <v/>
      </c>
      <c r="D12" s="116" t="str">
        <f>IF(SUMIFS(Receipts!$H:$H,Receipts!$I:$I,"="&amp;$B12,Receipts!$E:$E,"&gt;="&amp;D$4,Receipts!$E:$E,"&lt;"&amp;EDATE(D$4,1))=0,"",
((SUMIFS(Receipts!$H:$H,Receipts!$I:$I,"="&amp;$B12,Receipts!$E:$E,"&gt;="&amp;D$4,Receipts!$E:$E,"&lt;"&amp;EDATE(D$4,1)))))</f>
        <v/>
      </c>
      <c r="E12" s="116" t="str">
        <f>IF(SUMIFS(Receipts!$H:$H,Receipts!$I:$I,"="&amp;$B12,Receipts!$E:$E,"&gt;="&amp;E$4,Receipts!$E:$E,"&lt;"&amp;EDATE(E$4,1))=0,"",
((SUMIFS(Receipts!$H:$H,Receipts!$I:$I,"="&amp;$B12,Receipts!$E:$E,"&gt;="&amp;E$4,Receipts!$E:$E,"&lt;"&amp;EDATE(E$4,1)))))</f>
        <v/>
      </c>
      <c r="F12" s="116" t="str">
        <f>IF(SUMIFS(Receipts!$H:$H,Receipts!$I:$I,"="&amp;$B12,Receipts!$E:$E,"&gt;="&amp;F$4,Receipts!$E:$E,"&lt;"&amp;EDATE(F$4,1))=0,"",
((SUMIFS(Receipts!$H:$H,Receipts!$I:$I,"="&amp;$B12,Receipts!$E:$E,"&gt;="&amp;F$4,Receipts!$E:$E,"&lt;"&amp;EDATE(F$4,1)))))</f>
        <v/>
      </c>
      <c r="G12" s="116" t="str">
        <f>IF(SUMIFS(Receipts!$H:$H,Receipts!$I:$I,"="&amp;$B12,Receipts!$E:$E,"&gt;="&amp;G$4,Receipts!$E:$E,"&lt;"&amp;EDATE(G$4,1))=0,"",
((SUMIFS(Receipts!$H:$H,Receipts!$I:$I,"="&amp;$B12,Receipts!$E:$E,"&gt;="&amp;G$4,Receipts!$E:$E,"&lt;"&amp;EDATE(G$4,1)))))</f>
        <v/>
      </c>
      <c r="H12" s="116" t="str">
        <f>IF(SUMIFS(Receipts!$H:$H,Receipts!$I:$I,"="&amp;$B12,Receipts!$E:$E,"&gt;="&amp;H$4,Receipts!$E:$E,"&lt;"&amp;EDATE(H$4,1))=0,"",
((SUMIFS(Receipts!$H:$H,Receipts!$I:$I,"="&amp;$B12,Receipts!$E:$E,"&gt;="&amp;H$4,Receipts!$E:$E,"&lt;"&amp;EDATE(H$4,1)))))</f>
        <v/>
      </c>
      <c r="I12" s="116" t="str">
        <f>IF(SUMIFS(Receipts!$H:$H,Receipts!$I:$I,"="&amp;$B12,Receipts!$E:$E,"&gt;="&amp;I$4,Receipts!$E:$E,"&lt;"&amp;EDATE(I$4,1))=0,"",
((SUMIFS(Receipts!$H:$H,Receipts!$I:$I,"="&amp;$B12,Receipts!$E:$E,"&gt;="&amp;I$4,Receipts!$E:$E,"&lt;"&amp;EDATE(I$4,1)))))</f>
        <v/>
      </c>
      <c r="J12" s="116" t="str">
        <f>IF(SUMIFS(Receipts!$H:$H,Receipts!$I:$I,"="&amp;$B12,Receipts!$E:$E,"&gt;="&amp;J$4,Receipts!$E:$E,"&lt;"&amp;EDATE(J$4,1))=0,"",
((SUMIFS(Receipts!$H:$H,Receipts!$I:$I,"="&amp;$B12,Receipts!$E:$E,"&gt;="&amp;J$4,Receipts!$E:$E,"&lt;"&amp;EDATE(J$4,1)))))</f>
        <v/>
      </c>
      <c r="K12" s="116" t="str">
        <f>IF(SUMIFS(Receipts!$H:$H,Receipts!$I:$I,"="&amp;$B12,Receipts!$E:$E,"&gt;="&amp;K$4,Receipts!$E:$E,"&lt;"&amp;EDATE(K$4,1))=0,"",
((SUMIFS(Receipts!$H:$H,Receipts!$I:$I,"="&amp;$B12,Receipts!$E:$E,"&gt;="&amp;K$4,Receipts!$E:$E,"&lt;"&amp;EDATE(K$4,1)))))</f>
        <v/>
      </c>
      <c r="L12" s="116" t="str">
        <f>IF(SUMIFS(Receipts!$H:$H,Receipts!$I:$I,"="&amp;$B12,Receipts!$E:$E,"&gt;="&amp;L$4,Receipts!$E:$E,"&lt;"&amp;EDATE(L$4,1))=0,"",
((SUMIFS(Receipts!$H:$H,Receipts!$I:$I,"="&amp;$B12,Receipts!$E:$E,"&gt;="&amp;L$4,Receipts!$E:$E,"&lt;"&amp;EDATE(L$4,1)))))</f>
        <v/>
      </c>
      <c r="M12" s="116" t="str">
        <f>IF(SUMIFS(Receipts!$H:$H,Receipts!$I:$I,"="&amp;$B12,Receipts!$E:$E,"&gt;="&amp;M$4,Receipts!$E:$E,"&lt;"&amp;EDATE(M$4,1))=0,"",
((SUMIFS(Receipts!$H:$H,Receipts!$I:$I,"="&amp;$B12,Receipts!$E:$E,"&gt;="&amp;M$4,Receipts!$E:$E,"&lt;"&amp;EDATE(M$4,1)))))</f>
        <v/>
      </c>
      <c r="N12" s="116" t="str">
        <f>IF(SUMIFS(Receipts!$H:$H,Receipts!$I:$I,"="&amp;$B12,Receipts!$E:$E,"&gt;="&amp;N$4,Receipts!$E:$E,"&lt;"&amp;EDATE(N$4,1))=0,"",
((SUMIFS(Receipts!$H:$H,Receipts!$I:$I,"="&amp;$B12,Receipts!$E:$E,"&gt;="&amp;N$4,Receipts!$E:$E,"&lt;"&amp;EDATE(N$4,1)))))</f>
        <v/>
      </c>
      <c r="O12" s="116">
        <f t="shared" si="3"/>
        <v>0</v>
      </c>
      <c r="P12" s="116">
        <f>SUMIFS(Receipts!$H:$H,Receipts!$I:$I,"="&amp;$B12,Receipts!$E:$E,"="&amp;"")</f>
        <v>0</v>
      </c>
      <c r="Q12" s="116">
        <f t="shared" si="4"/>
        <v>0</v>
      </c>
      <c r="R12" s="116">
        <f>VLOOKUP(B12,SETUP!S:V,4,FALSE)</f>
        <v>0</v>
      </c>
      <c r="S12" s="116">
        <f t="shared" si="5"/>
        <v>0</v>
      </c>
      <c r="T12" s="177">
        <f t="shared" si="2"/>
        <v>0</v>
      </c>
    </row>
    <row r="13" spans="2:21" x14ac:dyDescent="0.3">
      <c r="B13" s="182" t="str">
        <f>SETUP!S11</f>
        <v>VAT Recovered</v>
      </c>
      <c r="C13" s="116">
        <f>IF(SUMIFS(Receipts!$H:$H,Receipts!$I:$I,"="&amp;$B13,Receipts!$E:$E,"&gt;="&amp;C$4,Receipts!$E:$E,"&lt;"&amp;EDATE(C$4,1))=0,"",
((SUMIFS(Receipts!$H:$H,Receipts!$I:$I,"="&amp;$B13,Receipts!$E:$E,"&gt;="&amp;C$4,Receipts!$E:$E,"&lt;"&amp;EDATE(C$4,1)))))</f>
        <v>10735.78</v>
      </c>
      <c r="D13" s="116" t="str">
        <f>IF(SUMIFS(Receipts!$H:$H,Receipts!$I:$I,"="&amp;$B13,Receipts!$E:$E,"&gt;="&amp;D$4,Receipts!$E:$E,"&lt;"&amp;EDATE(D$4,1))=0,"",
((SUMIFS(Receipts!$H:$H,Receipts!$I:$I,"="&amp;$B13,Receipts!$E:$E,"&gt;="&amp;D$4,Receipts!$E:$E,"&lt;"&amp;EDATE(D$4,1)))))</f>
        <v/>
      </c>
      <c r="E13" s="116" t="str">
        <f>IF(SUMIFS(Receipts!$H:$H,Receipts!$I:$I,"="&amp;$B13,Receipts!$E:$E,"&gt;="&amp;E$4,Receipts!$E:$E,"&lt;"&amp;EDATE(E$4,1))=0,"",
((SUMIFS(Receipts!$H:$H,Receipts!$I:$I,"="&amp;$B13,Receipts!$E:$E,"&gt;="&amp;E$4,Receipts!$E:$E,"&lt;"&amp;EDATE(E$4,1)))))</f>
        <v/>
      </c>
      <c r="F13" s="116" t="str">
        <f>IF(SUMIFS(Receipts!$H:$H,Receipts!$I:$I,"="&amp;$B13,Receipts!$E:$E,"&gt;="&amp;F$4,Receipts!$E:$E,"&lt;"&amp;EDATE(F$4,1))=0,"",
((SUMIFS(Receipts!$H:$H,Receipts!$I:$I,"="&amp;$B13,Receipts!$E:$E,"&gt;="&amp;F$4,Receipts!$E:$E,"&lt;"&amp;EDATE(F$4,1)))))</f>
        <v/>
      </c>
      <c r="G13" s="116" t="str">
        <f>IF(SUMIFS(Receipts!$H:$H,Receipts!$I:$I,"="&amp;$B13,Receipts!$E:$E,"&gt;="&amp;G$4,Receipts!$E:$E,"&lt;"&amp;EDATE(G$4,1))=0,"",
((SUMIFS(Receipts!$H:$H,Receipts!$I:$I,"="&amp;$B13,Receipts!$E:$E,"&gt;="&amp;G$4,Receipts!$E:$E,"&lt;"&amp;EDATE(G$4,1)))))</f>
        <v/>
      </c>
      <c r="H13" s="116" t="str">
        <f>IF(SUMIFS(Receipts!$H:$H,Receipts!$I:$I,"="&amp;$B13,Receipts!$E:$E,"&gt;="&amp;H$4,Receipts!$E:$E,"&lt;"&amp;EDATE(H$4,1))=0,"",
((SUMIFS(Receipts!$H:$H,Receipts!$I:$I,"="&amp;$B13,Receipts!$E:$E,"&gt;="&amp;H$4,Receipts!$E:$E,"&lt;"&amp;EDATE(H$4,1)))))</f>
        <v/>
      </c>
      <c r="I13" s="116" t="str">
        <f>IF(SUMIFS(Receipts!$H:$H,Receipts!$I:$I,"="&amp;$B13,Receipts!$E:$E,"&gt;="&amp;I$4,Receipts!$E:$E,"&lt;"&amp;EDATE(I$4,1))=0,"",
((SUMIFS(Receipts!$H:$H,Receipts!$I:$I,"="&amp;$B13,Receipts!$E:$E,"&gt;="&amp;I$4,Receipts!$E:$E,"&lt;"&amp;EDATE(I$4,1)))))</f>
        <v/>
      </c>
      <c r="J13" s="116" t="str">
        <f>IF(SUMIFS(Receipts!$H:$H,Receipts!$I:$I,"="&amp;$B13,Receipts!$E:$E,"&gt;="&amp;J$4,Receipts!$E:$E,"&lt;"&amp;EDATE(J$4,1))=0,"",
((SUMIFS(Receipts!$H:$H,Receipts!$I:$I,"="&amp;$B13,Receipts!$E:$E,"&gt;="&amp;J$4,Receipts!$E:$E,"&lt;"&amp;EDATE(J$4,1)))))</f>
        <v/>
      </c>
      <c r="K13" s="116" t="str">
        <f>IF(SUMIFS(Receipts!$H:$H,Receipts!$I:$I,"="&amp;$B13,Receipts!$E:$E,"&gt;="&amp;K$4,Receipts!$E:$E,"&lt;"&amp;EDATE(K$4,1))=0,"",
((SUMIFS(Receipts!$H:$H,Receipts!$I:$I,"="&amp;$B13,Receipts!$E:$E,"&gt;="&amp;K$4,Receipts!$E:$E,"&lt;"&amp;EDATE(K$4,1)))))</f>
        <v/>
      </c>
      <c r="L13" s="116" t="str">
        <f>IF(SUMIFS(Receipts!$H:$H,Receipts!$I:$I,"="&amp;$B13,Receipts!$E:$E,"&gt;="&amp;L$4,Receipts!$E:$E,"&lt;"&amp;EDATE(L$4,1))=0,"",
((SUMIFS(Receipts!$H:$H,Receipts!$I:$I,"="&amp;$B13,Receipts!$E:$E,"&gt;="&amp;L$4,Receipts!$E:$E,"&lt;"&amp;EDATE(L$4,1)))))</f>
        <v/>
      </c>
      <c r="M13" s="116" t="str">
        <f>IF(SUMIFS(Receipts!$H:$H,Receipts!$I:$I,"="&amp;$B13,Receipts!$E:$E,"&gt;="&amp;M$4,Receipts!$E:$E,"&lt;"&amp;EDATE(M$4,1))=0,"",
((SUMIFS(Receipts!$H:$H,Receipts!$I:$I,"="&amp;$B13,Receipts!$E:$E,"&gt;="&amp;M$4,Receipts!$E:$E,"&lt;"&amp;EDATE(M$4,1)))))</f>
        <v/>
      </c>
      <c r="N13" s="116" t="str">
        <f>IF(SUMIFS(Receipts!$H:$H,Receipts!$I:$I,"="&amp;$B13,Receipts!$E:$E,"&gt;="&amp;N$4,Receipts!$E:$E,"&lt;"&amp;EDATE(N$4,1))=0,"",
((SUMIFS(Receipts!$H:$H,Receipts!$I:$I,"="&amp;$B13,Receipts!$E:$E,"&gt;="&amp;N$4,Receipts!$E:$E,"&lt;"&amp;EDATE(N$4,1)))))</f>
        <v/>
      </c>
      <c r="O13" s="116">
        <f t="shared" si="3"/>
        <v>10735.78</v>
      </c>
      <c r="P13" s="116">
        <f>SUMIFS(Receipts!$H:$H,Receipts!$I:$I,"="&amp;$B13,Receipts!$E:$E,"="&amp;"")</f>
        <v>0</v>
      </c>
      <c r="Q13" s="116">
        <f t="shared" si="4"/>
        <v>10735.78</v>
      </c>
      <c r="R13" s="116">
        <f>VLOOKUP(B13,SETUP!S:V,4,FALSE)</f>
        <v>8000</v>
      </c>
      <c r="S13" s="116">
        <f t="shared" si="5"/>
        <v>2735.7800000000007</v>
      </c>
      <c r="T13" s="177">
        <f t="shared" si="2"/>
        <v>6.2876841971667485E-2</v>
      </c>
    </row>
    <row r="14" spans="2:21" x14ac:dyDescent="0.3">
      <c r="B14" s="182" t="str">
        <f>SETUP!S12</f>
        <v>Spare Code</v>
      </c>
      <c r="C14" s="116" t="str">
        <f>IF(SUMIFS(Receipts!$H:$H,Receipts!$I:$I,"="&amp;$B14,Receipts!$E:$E,"&gt;="&amp;C$4,Receipts!$E:$E,"&lt;"&amp;EDATE(C$4,1))=0,"",
((SUMIFS(Receipts!$H:$H,Receipts!$I:$I,"="&amp;$B14,Receipts!$E:$E,"&gt;="&amp;C$4,Receipts!$E:$E,"&lt;"&amp;EDATE(C$4,1)))))</f>
        <v/>
      </c>
      <c r="D14" s="116" t="str">
        <f>IF(SUMIFS(Receipts!$H:$H,Receipts!$I:$I,"="&amp;$B14,Receipts!$E:$E,"&gt;="&amp;D$4,Receipts!$E:$E,"&lt;"&amp;EDATE(D$4,1))=0,"",
((SUMIFS(Receipts!$H:$H,Receipts!$I:$I,"="&amp;$B14,Receipts!$E:$E,"&gt;="&amp;D$4,Receipts!$E:$E,"&lt;"&amp;EDATE(D$4,1)))))</f>
        <v/>
      </c>
      <c r="E14" s="116" t="str">
        <f>IF(SUMIFS(Receipts!$H:$H,Receipts!$I:$I,"="&amp;$B14,Receipts!$E:$E,"&gt;="&amp;E$4,Receipts!$E:$E,"&lt;"&amp;EDATE(E$4,1))=0,"",
((SUMIFS(Receipts!$H:$H,Receipts!$I:$I,"="&amp;$B14,Receipts!$E:$E,"&gt;="&amp;E$4,Receipts!$E:$E,"&lt;"&amp;EDATE(E$4,1)))))</f>
        <v/>
      </c>
      <c r="F14" s="116" t="str">
        <f>IF(SUMIFS(Receipts!$H:$H,Receipts!$I:$I,"="&amp;$B14,Receipts!$E:$E,"&gt;="&amp;F$4,Receipts!$E:$E,"&lt;"&amp;EDATE(F$4,1))=0,"",
((SUMIFS(Receipts!$H:$H,Receipts!$I:$I,"="&amp;$B14,Receipts!$E:$E,"&gt;="&amp;F$4,Receipts!$E:$E,"&lt;"&amp;EDATE(F$4,1)))))</f>
        <v/>
      </c>
      <c r="G14" s="116" t="str">
        <f>IF(SUMIFS(Receipts!$H:$H,Receipts!$I:$I,"="&amp;$B14,Receipts!$E:$E,"&gt;="&amp;G$4,Receipts!$E:$E,"&lt;"&amp;EDATE(G$4,1))=0,"",
((SUMIFS(Receipts!$H:$H,Receipts!$I:$I,"="&amp;$B14,Receipts!$E:$E,"&gt;="&amp;G$4,Receipts!$E:$E,"&lt;"&amp;EDATE(G$4,1)))))</f>
        <v/>
      </c>
      <c r="H14" s="116" t="str">
        <f>IF(SUMIFS(Receipts!$H:$H,Receipts!$I:$I,"="&amp;$B14,Receipts!$E:$E,"&gt;="&amp;H$4,Receipts!$E:$E,"&lt;"&amp;EDATE(H$4,1))=0,"",
((SUMIFS(Receipts!$H:$H,Receipts!$I:$I,"="&amp;$B14,Receipts!$E:$E,"&gt;="&amp;H$4,Receipts!$E:$E,"&lt;"&amp;EDATE(H$4,1)))))</f>
        <v/>
      </c>
      <c r="I14" s="116" t="str">
        <f>IF(SUMIFS(Receipts!$H:$H,Receipts!$I:$I,"="&amp;$B14,Receipts!$E:$E,"&gt;="&amp;I$4,Receipts!$E:$E,"&lt;"&amp;EDATE(I$4,1))=0,"",
((SUMIFS(Receipts!$H:$H,Receipts!$I:$I,"="&amp;$B14,Receipts!$E:$E,"&gt;="&amp;I$4,Receipts!$E:$E,"&lt;"&amp;EDATE(I$4,1)))))</f>
        <v/>
      </c>
      <c r="J14" s="116" t="str">
        <f>IF(SUMIFS(Receipts!$H:$H,Receipts!$I:$I,"="&amp;$B14,Receipts!$E:$E,"&gt;="&amp;J$4,Receipts!$E:$E,"&lt;"&amp;EDATE(J$4,1))=0,"",
((SUMIFS(Receipts!$H:$H,Receipts!$I:$I,"="&amp;$B14,Receipts!$E:$E,"&gt;="&amp;J$4,Receipts!$E:$E,"&lt;"&amp;EDATE(J$4,1)))))</f>
        <v/>
      </c>
      <c r="K14" s="116" t="str">
        <f>IF(SUMIFS(Receipts!$H:$H,Receipts!$I:$I,"="&amp;$B14,Receipts!$E:$E,"&gt;="&amp;K$4,Receipts!$E:$E,"&lt;"&amp;EDATE(K$4,1))=0,"",
((SUMIFS(Receipts!$H:$H,Receipts!$I:$I,"="&amp;$B14,Receipts!$E:$E,"&gt;="&amp;K$4,Receipts!$E:$E,"&lt;"&amp;EDATE(K$4,1)))))</f>
        <v/>
      </c>
      <c r="L14" s="116" t="str">
        <f>IF(SUMIFS(Receipts!$H:$H,Receipts!$I:$I,"="&amp;$B14,Receipts!$E:$E,"&gt;="&amp;L$4,Receipts!$E:$E,"&lt;"&amp;EDATE(L$4,1))=0,"",
((SUMIFS(Receipts!$H:$H,Receipts!$I:$I,"="&amp;$B14,Receipts!$E:$E,"&gt;="&amp;L$4,Receipts!$E:$E,"&lt;"&amp;EDATE(L$4,1)))))</f>
        <v/>
      </c>
      <c r="M14" s="116" t="str">
        <f>IF(SUMIFS(Receipts!$H:$H,Receipts!$I:$I,"="&amp;$B14,Receipts!$E:$E,"&gt;="&amp;M$4,Receipts!$E:$E,"&lt;"&amp;EDATE(M$4,1))=0,"",
((SUMIFS(Receipts!$H:$H,Receipts!$I:$I,"="&amp;$B14,Receipts!$E:$E,"&gt;="&amp;M$4,Receipts!$E:$E,"&lt;"&amp;EDATE(M$4,1)))))</f>
        <v/>
      </c>
      <c r="N14" s="116" t="str">
        <f>IF(SUMIFS(Receipts!$H:$H,Receipts!$I:$I,"="&amp;$B14,Receipts!$E:$E,"&gt;="&amp;N$4,Receipts!$E:$E,"&lt;"&amp;EDATE(N$4,1))=0,"",
((SUMIFS(Receipts!$H:$H,Receipts!$I:$I,"="&amp;$B14,Receipts!$E:$E,"&gt;="&amp;N$4,Receipts!$E:$E,"&lt;"&amp;EDATE(N$4,1)))))</f>
        <v/>
      </c>
      <c r="O14" s="116">
        <f>SUM(C14:N14)</f>
        <v>0</v>
      </c>
      <c r="P14" s="116">
        <f>SUMIFS(Receipts!$H:$H,Receipts!$I:$I,"="&amp;$B14,Receipts!$E:$E,"="&amp;"")</f>
        <v>0</v>
      </c>
      <c r="Q14" s="116">
        <f>SUM(O14:P14)</f>
        <v>0</v>
      </c>
      <c r="R14" s="116">
        <f>VLOOKUP(B14,SETUP!S:V,4,FALSE)</f>
        <v>0</v>
      </c>
      <c r="S14" s="116">
        <f>Q14-R14</f>
        <v>0</v>
      </c>
      <c r="T14" s="177">
        <f t="shared" si="2"/>
        <v>0</v>
      </c>
    </row>
    <row r="15" spans="2:21" x14ac:dyDescent="0.3">
      <c r="B15" s="182" t="str">
        <f>SETUP!S13</f>
        <v>Spare Code</v>
      </c>
      <c r="C15" s="116" t="str">
        <f>IF(SUMIFS(Receipts!$H:$H,Receipts!$I:$I,"="&amp;$B15,Receipts!$E:$E,"&gt;="&amp;C$4,Receipts!$E:$E,"&lt;"&amp;EDATE(C$4,1))=0,"",
((SUMIFS(Receipts!$H:$H,Receipts!$I:$I,"="&amp;$B15,Receipts!$E:$E,"&gt;="&amp;C$4,Receipts!$E:$E,"&lt;"&amp;EDATE(C$4,1)))))</f>
        <v/>
      </c>
      <c r="D15" s="116" t="str">
        <f>IF(SUMIFS(Receipts!$H:$H,Receipts!$I:$I,"="&amp;$B15,Receipts!$E:$E,"&gt;="&amp;D$4,Receipts!$E:$E,"&lt;"&amp;EDATE(D$4,1))=0,"",
((SUMIFS(Receipts!$H:$H,Receipts!$I:$I,"="&amp;$B15,Receipts!$E:$E,"&gt;="&amp;D$4,Receipts!$E:$E,"&lt;"&amp;EDATE(D$4,1)))))</f>
        <v/>
      </c>
      <c r="E15" s="116" t="str">
        <f>IF(SUMIFS(Receipts!$H:$H,Receipts!$I:$I,"="&amp;$B15,Receipts!$E:$E,"&gt;="&amp;E$4,Receipts!$E:$E,"&lt;"&amp;EDATE(E$4,1))=0,"",
((SUMIFS(Receipts!$H:$H,Receipts!$I:$I,"="&amp;$B15,Receipts!$E:$E,"&gt;="&amp;E$4,Receipts!$E:$E,"&lt;"&amp;EDATE(E$4,1)))))</f>
        <v/>
      </c>
      <c r="F15" s="116" t="str">
        <f>IF(SUMIFS(Receipts!$H:$H,Receipts!$I:$I,"="&amp;$B15,Receipts!$E:$E,"&gt;="&amp;F$4,Receipts!$E:$E,"&lt;"&amp;EDATE(F$4,1))=0,"",
((SUMIFS(Receipts!$H:$H,Receipts!$I:$I,"="&amp;$B15,Receipts!$E:$E,"&gt;="&amp;F$4,Receipts!$E:$E,"&lt;"&amp;EDATE(F$4,1)))))</f>
        <v/>
      </c>
      <c r="G15" s="116" t="str">
        <f>IF(SUMIFS(Receipts!$H:$H,Receipts!$I:$I,"="&amp;$B15,Receipts!$E:$E,"&gt;="&amp;G$4,Receipts!$E:$E,"&lt;"&amp;EDATE(G$4,1))=0,"",
((SUMIFS(Receipts!$H:$H,Receipts!$I:$I,"="&amp;$B15,Receipts!$E:$E,"&gt;="&amp;G$4,Receipts!$E:$E,"&lt;"&amp;EDATE(G$4,1)))))</f>
        <v/>
      </c>
      <c r="H15" s="116" t="str">
        <f>IF(SUMIFS(Receipts!$H:$H,Receipts!$I:$I,"="&amp;$B15,Receipts!$E:$E,"&gt;="&amp;H$4,Receipts!$E:$E,"&lt;"&amp;EDATE(H$4,1))=0,"",
((SUMIFS(Receipts!$H:$H,Receipts!$I:$I,"="&amp;$B15,Receipts!$E:$E,"&gt;="&amp;H$4,Receipts!$E:$E,"&lt;"&amp;EDATE(H$4,1)))))</f>
        <v/>
      </c>
      <c r="I15" s="116" t="str">
        <f>IF(SUMIFS(Receipts!$H:$H,Receipts!$I:$I,"="&amp;$B15,Receipts!$E:$E,"&gt;="&amp;I$4,Receipts!$E:$E,"&lt;"&amp;EDATE(I$4,1))=0,"",
((SUMIFS(Receipts!$H:$H,Receipts!$I:$I,"="&amp;$B15,Receipts!$E:$E,"&gt;="&amp;I$4,Receipts!$E:$E,"&lt;"&amp;EDATE(I$4,1)))))</f>
        <v/>
      </c>
      <c r="J15" s="116" t="str">
        <f>IF(SUMIFS(Receipts!$H:$H,Receipts!$I:$I,"="&amp;$B15,Receipts!$E:$E,"&gt;="&amp;J$4,Receipts!$E:$E,"&lt;"&amp;EDATE(J$4,1))=0,"",
((SUMIFS(Receipts!$H:$H,Receipts!$I:$I,"="&amp;$B15,Receipts!$E:$E,"&gt;="&amp;J$4,Receipts!$E:$E,"&lt;"&amp;EDATE(J$4,1)))))</f>
        <v/>
      </c>
      <c r="K15" s="116" t="str">
        <f>IF(SUMIFS(Receipts!$H:$H,Receipts!$I:$I,"="&amp;$B15,Receipts!$E:$E,"&gt;="&amp;K$4,Receipts!$E:$E,"&lt;"&amp;EDATE(K$4,1))=0,"",
((SUMIFS(Receipts!$H:$H,Receipts!$I:$I,"="&amp;$B15,Receipts!$E:$E,"&gt;="&amp;K$4,Receipts!$E:$E,"&lt;"&amp;EDATE(K$4,1)))))</f>
        <v/>
      </c>
      <c r="L15" s="116" t="str">
        <f>IF(SUMIFS(Receipts!$H:$H,Receipts!$I:$I,"="&amp;$B15,Receipts!$E:$E,"&gt;="&amp;L$4,Receipts!$E:$E,"&lt;"&amp;EDATE(L$4,1))=0,"",
((SUMIFS(Receipts!$H:$H,Receipts!$I:$I,"="&amp;$B15,Receipts!$E:$E,"&gt;="&amp;L$4,Receipts!$E:$E,"&lt;"&amp;EDATE(L$4,1)))))</f>
        <v/>
      </c>
      <c r="M15" s="116" t="str">
        <f>IF(SUMIFS(Receipts!$H:$H,Receipts!$I:$I,"="&amp;$B15,Receipts!$E:$E,"&gt;="&amp;M$4,Receipts!$E:$E,"&lt;"&amp;EDATE(M$4,1))=0,"",
((SUMIFS(Receipts!$H:$H,Receipts!$I:$I,"="&amp;$B15,Receipts!$E:$E,"&gt;="&amp;M$4,Receipts!$E:$E,"&lt;"&amp;EDATE(M$4,1)))))</f>
        <v/>
      </c>
      <c r="N15" s="116" t="str">
        <f>IF(SUMIFS(Receipts!$H:$H,Receipts!$I:$I,"="&amp;$B15,Receipts!$E:$E,"&gt;="&amp;N$4,Receipts!$E:$E,"&lt;"&amp;EDATE(N$4,1))=0,"",
((SUMIFS(Receipts!$H:$H,Receipts!$I:$I,"="&amp;$B15,Receipts!$E:$E,"&gt;="&amp;N$4,Receipts!$E:$E,"&lt;"&amp;EDATE(N$4,1)))))</f>
        <v/>
      </c>
      <c r="O15" s="116">
        <f t="shared" ref="O15:O20" si="9">SUM(C15:N15)</f>
        <v>0</v>
      </c>
      <c r="P15" s="116">
        <f>SUMIFS(Receipts!$H:$H,Receipts!$I:$I,"="&amp;$B15,Receipts!$E:$E,"="&amp;"")</f>
        <v>0</v>
      </c>
      <c r="Q15" s="116">
        <f t="shared" ref="Q15:Q20" si="10">SUM(O15:P15)</f>
        <v>0</v>
      </c>
      <c r="R15" s="116">
        <f>VLOOKUP(B15,SETUP!S:V,4,FALSE)</f>
        <v>0</v>
      </c>
      <c r="S15" s="116">
        <f t="shared" ref="S15:S20" si="11">Q15-R15</f>
        <v>0</v>
      </c>
      <c r="T15" s="177">
        <f t="shared" si="2"/>
        <v>0</v>
      </c>
    </row>
    <row r="16" spans="2:21" x14ac:dyDescent="0.3">
      <c r="B16" s="182" t="str">
        <f>SETUP!S14</f>
        <v>Spare Code</v>
      </c>
      <c r="C16" s="116" t="str">
        <f>IF(SUMIFS(Receipts!$H:$H,Receipts!$I:$I,"="&amp;$B16,Receipts!$E:$E,"&gt;="&amp;C$4,Receipts!$E:$E,"&lt;"&amp;EDATE(C$4,1))=0,"",
((SUMIFS(Receipts!$H:$H,Receipts!$I:$I,"="&amp;$B16,Receipts!$E:$E,"&gt;="&amp;C$4,Receipts!$E:$E,"&lt;"&amp;EDATE(C$4,1)))))</f>
        <v/>
      </c>
      <c r="D16" s="116" t="str">
        <f>IF(SUMIFS(Receipts!$H:$H,Receipts!$I:$I,"="&amp;$B16,Receipts!$E:$E,"&gt;="&amp;D$4,Receipts!$E:$E,"&lt;"&amp;EDATE(D$4,1))=0,"",
((SUMIFS(Receipts!$H:$H,Receipts!$I:$I,"="&amp;$B16,Receipts!$E:$E,"&gt;="&amp;D$4,Receipts!$E:$E,"&lt;"&amp;EDATE(D$4,1)))))</f>
        <v/>
      </c>
      <c r="E16" s="116" t="str">
        <f>IF(SUMIFS(Receipts!$H:$H,Receipts!$I:$I,"="&amp;$B16,Receipts!$E:$E,"&gt;="&amp;E$4,Receipts!$E:$E,"&lt;"&amp;EDATE(E$4,1))=0,"",
((SUMIFS(Receipts!$H:$H,Receipts!$I:$I,"="&amp;$B16,Receipts!$E:$E,"&gt;="&amp;E$4,Receipts!$E:$E,"&lt;"&amp;EDATE(E$4,1)))))</f>
        <v/>
      </c>
      <c r="F16" s="116" t="str">
        <f>IF(SUMIFS(Receipts!$H:$H,Receipts!$I:$I,"="&amp;$B16,Receipts!$E:$E,"&gt;="&amp;F$4,Receipts!$E:$E,"&lt;"&amp;EDATE(F$4,1))=0,"",
((SUMIFS(Receipts!$H:$H,Receipts!$I:$I,"="&amp;$B16,Receipts!$E:$E,"&gt;="&amp;F$4,Receipts!$E:$E,"&lt;"&amp;EDATE(F$4,1)))))</f>
        <v/>
      </c>
      <c r="G16" s="116" t="str">
        <f>IF(SUMIFS(Receipts!$H:$H,Receipts!$I:$I,"="&amp;$B16,Receipts!$E:$E,"&gt;="&amp;G$4,Receipts!$E:$E,"&lt;"&amp;EDATE(G$4,1))=0,"",
((SUMIFS(Receipts!$H:$H,Receipts!$I:$I,"="&amp;$B16,Receipts!$E:$E,"&gt;="&amp;G$4,Receipts!$E:$E,"&lt;"&amp;EDATE(G$4,1)))))</f>
        <v/>
      </c>
      <c r="H16" s="116" t="str">
        <f>IF(SUMIFS(Receipts!$H:$H,Receipts!$I:$I,"="&amp;$B16,Receipts!$E:$E,"&gt;="&amp;H$4,Receipts!$E:$E,"&lt;"&amp;EDATE(H$4,1))=0,"",
((SUMIFS(Receipts!$H:$H,Receipts!$I:$I,"="&amp;$B16,Receipts!$E:$E,"&gt;="&amp;H$4,Receipts!$E:$E,"&lt;"&amp;EDATE(H$4,1)))))</f>
        <v/>
      </c>
      <c r="I16" s="116" t="str">
        <f>IF(SUMIFS(Receipts!$H:$H,Receipts!$I:$I,"="&amp;$B16,Receipts!$E:$E,"&gt;="&amp;I$4,Receipts!$E:$E,"&lt;"&amp;EDATE(I$4,1))=0,"",
((SUMIFS(Receipts!$H:$H,Receipts!$I:$I,"="&amp;$B16,Receipts!$E:$E,"&gt;="&amp;I$4,Receipts!$E:$E,"&lt;"&amp;EDATE(I$4,1)))))</f>
        <v/>
      </c>
      <c r="J16" s="116" t="str">
        <f>IF(SUMIFS(Receipts!$H:$H,Receipts!$I:$I,"="&amp;$B16,Receipts!$E:$E,"&gt;="&amp;J$4,Receipts!$E:$E,"&lt;"&amp;EDATE(J$4,1))=0,"",
((SUMIFS(Receipts!$H:$H,Receipts!$I:$I,"="&amp;$B16,Receipts!$E:$E,"&gt;="&amp;J$4,Receipts!$E:$E,"&lt;"&amp;EDATE(J$4,1)))))</f>
        <v/>
      </c>
      <c r="K16" s="116" t="str">
        <f>IF(SUMIFS(Receipts!$H:$H,Receipts!$I:$I,"="&amp;$B16,Receipts!$E:$E,"&gt;="&amp;K$4,Receipts!$E:$E,"&lt;"&amp;EDATE(K$4,1))=0,"",
((SUMIFS(Receipts!$H:$H,Receipts!$I:$I,"="&amp;$B16,Receipts!$E:$E,"&gt;="&amp;K$4,Receipts!$E:$E,"&lt;"&amp;EDATE(K$4,1)))))</f>
        <v/>
      </c>
      <c r="L16" s="116" t="str">
        <f>IF(SUMIFS(Receipts!$H:$H,Receipts!$I:$I,"="&amp;$B16,Receipts!$E:$E,"&gt;="&amp;L$4,Receipts!$E:$E,"&lt;"&amp;EDATE(L$4,1))=0,"",
((SUMIFS(Receipts!$H:$H,Receipts!$I:$I,"="&amp;$B16,Receipts!$E:$E,"&gt;="&amp;L$4,Receipts!$E:$E,"&lt;"&amp;EDATE(L$4,1)))))</f>
        <v/>
      </c>
      <c r="M16" s="116" t="str">
        <f>IF(SUMIFS(Receipts!$H:$H,Receipts!$I:$I,"="&amp;$B16,Receipts!$E:$E,"&gt;="&amp;M$4,Receipts!$E:$E,"&lt;"&amp;EDATE(M$4,1))=0,"",
((SUMIFS(Receipts!$H:$H,Receipts!$I:$I,"="&amp;$B16,Receipts!$E:$E,"&gt;="&amp;M$4,Receipts!$E:$E,"&lt;"&amp;EDATE(M$4,1)))))</f>
        <v/>
      </c>
      <c r="N16" s="116" t="str">
        <f>IF(SUMIFS(Receipts!$H:$H,Receipts!$I:$I,"="&amp;$B16,Receipts!$E:$E,"&gt;="&amp;N$4,Receipts!$E:$E,"&lt;"&amp;EDATE(N$4,1))=0,"",
((SUMIFS(Receipts!$H:$H,Receipts!$I:$I,"="&amp;$B16,Receipts!$E:$E,"&gt;="&amp;N$4,Receipts!$E:$E,"&lt;"&amp;EDATE(N$4,1)))))</f>
        <v/>
      </c>
      <c r="O16" s="116">
        <f t="shared" si="9"/>
        <v>0</v>
      </c>
      <c r="P16" s="116">
        <f>SUMIFS(Receipts!$H:$H,Receipts!$I:$I,"="&amp;$B16,Receipts!$E:$E,"="&amp;"")</f>
        <v>0</v>
      </c>
      <c r="Q16" s="116">
        <f t="shared" si="10"/>
        <v>0</v>
      </c>
      <c r="R16" s="116">
        <f>VLOOKUP(B16,SETUP!S:V,4,FALSE)</f>
        <v>0</v>
      </c>
      <c r="S16" s="116">
        <f t="shared" si="11"/>
        <v>0</v>
      </c>
      <c r="T16" s="177">
        <f t="shared" si="2"/>
        <v>0</v>
      </c>
    </row>
    <row r="17" spans="2:20" x14ac:dyDescent="0.3">
      <c r="B17" s="182" t="str">
        <f>SETUP!S15</f>
        <v>Spare Code</v>
      </c>
      <c r="C17" s="116" t="str">
        <f>IF(SUMIFS(Receipts!$H:$H,Receipts!$I:$I,"="&amp;$B17,Receipts!$E:$E,"&gt;="&amp;C$4,Receipts!$E:$E,"&lt;"&amp;EDATE(C$4,1))=0,"",
((SUMIFS(Receipts!$H:$H,Receipts!$I:$I,"="&amp;$B17,Receipts!$E:$E,"&gt;="&amp;C$4,Receipts!$E:$E,"&lt;"&amp;EDATE(C$4,1)))))</f>
        <v/>
      </c>
      <c r="D17" s="116" t="str">
        <f>IF(SUMIFS(Receipts!$H:$H,Receipts!$I:$I,"="&amp;$B17,Receipts!$E:$E,"&gt;="&amp;D$4,Receipts!$E:$E,"&lt;"&amp;EDATE(D$4,1))=0,"",
((SUMIFS(Receipts!$H:$H,Receipts!$I:$I,"="&amp;$B17,Receipts!$E:$E,"&gt;="&amp;D$4,Receipts!$E:$E,"&lt;"&amp;EDATE(D$4,1)))))</f>
        <v/>
      </c>
      <c r="E17" s="116" t="str">
        <f>IF(SUMIFS(Receipts!$H:$H,Receipts!$I:$I,"="&amp;$B17,Receipts!$E:$E,"&gt;="&amp;E$4,Receipts!$E:$E,"&lt;"&amp;EDATE(E$4,1))=0,"",
((SUMIFS(Receipts!$H:$H,Receipts!$I:$I,"="&amp;$B17,Receipts!$E:$E,"&gt;="&amp;E$4,Receipts!$E:$E,"&lt;"&amp;EDATE(E$4,1)))))</f>
        <v/>
      </c>
      <c r="F17" s="116" t="str">
        <f>IF(SUMIFS(Receipts!$H:$H,Receipts!$I:$I,"="&amp;$B17,Receipts!$E:$E,"&gt;="&amp;F$4,Receipts!$E:$E,"&lt;"&amp;EDATE(F$4,1))=0,"",
((SUMIFS(Receipts!$H:$H,Receipts!$I:$I,"="&amp;$B17,Receipts!$E:$E,"&gt;="&amp;F$4,Receipts!$E:$E,"&lt;"&amp;EDATE(F$4,1)))))</f>
        <v/>
      </c>
      <c r="G17" s="116" t="str">
        <f>IF(SUMIFS(Receipts!$H:$H,Receipts!$I:$I,"="&amp;$B17,Receipts!$E:$E,"&gt;="&amp;G$4,Receipts!$E:$E,"&lt;"&amp;EDATE(G$4,1))=0,"",
((SUMIFS(Receipts!$H:$H,Receipts!$I:$I,"="&amp;$B17,Receipts!$E:$E,"&gt;="&amp;G$4,Receipts!$E:$E,"&lt;"&amp;EDATE(G$4,1)))))</f>
        <v/>
      </c>
      <c r="H17" s="116" t="str">
        <f>IF(SUMIFS(Receipts!$H:$H,Receipts!$I:$I,"="&amp;$B17,Receipts!$E:$E,"&gt;="&amp;H$4,Receipts!$E:$E,"&lt;"&amp;EDATE(H$4,1))=0,"",
((SUMIFS(Receipts!$H:$H,Receipts!$I:$I,"="&amp;$B17,Receipts!$E:$E,"&gt;="&amp;H$4,Receipts!$E:$E,"&lt;"&amp;EDATE(H$4,1)))))</f>
        <v/>
      </c>
      <c r="I17" s="116" t="str">
        <f>IF(SUMIFS(Receipts!$H:$H,Receipts!$I:$I,"="&amp;$B17,Receipts!$E:$E,"&gt;="&amp;I$4,Receipts!$E:$E,"&lt;"&amp;EDATE(I$4,1))=0,"",
((SUMIFS(Receipts!$H:$H,Receipts!$I:$I,"="&amp;$B17,Receipts!$E:$E,"&gt;="&amp;I$4,Receipts!$E:$E,"&lt;"&amp;EDATE(I$4,1)))))</f>
        <v/>
      </c>
      <c r="J17" s="116" t="str">
        <f>IF(SUMIFS(Receipts!$H:$H,Receipts!$I:$I,"="&amp;$B17,Receipts!$E:$E,"&gt;="&amp;J$4,Receipts!$E:$E,"&lt;"&amp;EDATE(J$4,1))=0,"",
((SUMIFS(Receipts!$H:$H,Receipts!$I:$I,"="&amp;$B17,Receipts!$E:$E,"&gt;="&amp;J$4,Receipts!$E:$E,"&lt;"&amp;EDATE(J$4,1)))))</f>
        <v/>
      </c>
      <c r="K17" s="116" t="str">
        <f>IF(SUMIFS(Receipts!$H:$H,Receipts!$I:$I,"="&amp;$B17,Receipts!$E:$E,"&gt;="&amp;K$4,Receipts!$E:$E,"&lt;"&amp;EDATE(K$4,1))=0,"",
((SUMIFS(Receipts!$H:$H,Receipts!$I:$I,"="&amp;$B17,Receipts!$E:$E,"&gt;="&amp;K$4,Receipts!$E:$E,"&lt;"&amp;EDATE(K$4,1)))))</f>
        <v/>
      </c>
      <c r="L17" s="116" t="str">
        <f>IF(SUMIFS(Receipts!$H:$H,Receipts!$I:$I,"="&amp;$B17,Receipts!$E:$E,"&gt;="&amp;L$4,Receipts!$E:$E,"&lt;"&amp;EDATE(L$4,1))=0,"",
((SUMIFS(Receipts!$H:$H,Receipts!$I:$I,"="&amp;$B17,Receipts!$E:$E,"&gt;="&amp;L$4,Receipts!$E:$E,"&lt;"&amp;EDATE(L$4,1)))))</f>
        <v/>
      </c>
      <c r="M17" s="116" t="str">
        <f>IF(SUMIFS(Receipts!$H:$H,Receipts!$I:$I,"="&amp;$B17,Receipts!$E:$E,"&gt;="&amp;M$4,Receipts!$E:$E,"&lt;"&amp;EDATE(M$4,1))=0,"",
((SUMIFS(Receipts!$H:$H,Receipts!$I:$I,"="&amp;$B17,Receipts!$E:$E,"&gt;="&amp;M$4,Receipts!$E:$E,"&lt;"&amp;EDATE(M$4,1)))))</f>
        <v/>
      </c>
      <c r="N17" s="116" t="str">
        <f>IF(SUMIFS(Receipts!$H:$H,Receipts!$I:$I,"="&amp;$B17,Receipts!$E:$E,"&gt;="&amp;N$4,Receipts!$E:$E,"&lt;"&amp;EDATE(N$4,1))=0,"",
((SUMIFS(Receipts!$H:$H,Receipts!$I:$I,"="&amp;$B17,Receipts!$E:$E,"&gt;="&amp;N$4,Receipts!$E:$E,"&lt;"&amp;EDATE(N$4,1)))))</f>
        <v/>
      </c>
      <c r="O17" s="116">
        <f t="shared" si="9"/>
        <v>0</v>
      </c>
      <c r="P17" s="116">
        <f>SUMIFS(Receipts!$H:$H,Receipts!$I:$I,"="&amp;$B17,Receipts!$E:$E,"="&amp;"")</f>
        <v>0</v>
      </c>
      <c r="Q17" s="116">
        <f t="shared" si="10"/>
        <v>0</v>
      </c>
      <c r="R17" s="116">
        <f>VLOOKUP(B17,SETUP!S:V,4,FALSE)</f>
        <v>0</v>
      </c>
      <c r="S17" s="116">
        <f t="shared" si="11"/>
        <v>0</v>
      </c>
      <c r="T17" s="177">
        <f t="shared" si="2"/>
        <v>0</v>
      </c>
    </row>
    <row r="18" spans="2:20" x14ac:dyDescent="0.3">
      <c r="B18" s="182" t="str">
        <f>SETUP!S16</f>
        <v>Spare Code</v>
      </c>
      <c r="C18" s="116" t="str">
        <f>IF(SUMIFS(Receipts!$H:$H,Receipts!$I:$I,"="&amp;$B18,Receipts!$E:$E,"&gt;="&amp;C$4,Receipts!$E:$E,"&lt;"&amp;EDATE(C$4,1))=0,"",
((SUMIFS(Receipts!$H:$H,Receipts!$I:$I,"="&amp;$B18,Receipts!$E:$E,"&gt;="&amp;C$4,Receipts!$E:$E,"&lt;"&amp;EDATE(C$4,1)))))</f>
        <v/>
      </c>
      <c r="D18" s="116" t="str">
        <f>IF(SUMIFS(Receipts!$H:$H,Receipts!$I:$I,"="&amp;$B18,Receipts!$E:$E,"&gt;="&amp;D$4,Receipts!$E:$E,"&lt;"&amp;EDATE(D$4,1))=0,"",
((SUMIFS(Receipts!$H:$H,Receipts!$I:$I,"="&amp;$B18,Receipts!$E:$E,"&gt;="&amp;D$4,Receipts!$E:$E,"&lt;"&amp;EDATE(D$4,1)))))</f>
        <v/>
      </c>
      <c r="E18" s="116" t="str">
        <f>IF(SUMIFS(Receipts!$H:$H,Receipts!$I:$I,"="&amp;$B18,Receipts!$E:$E,"&gt;="&amp;E$4,Receipts!$E:$E,"&lt;"&amp;EDATE(E$4,1))=0,"",
((SUMIFS(Receipts!$H:$H,Receipts!$I:$I,"="&amp;$B18,Receipts!$E:$E,"&gt;="&amp;E$4,Receipts!$E:$E,"&lt;"&amp;EDATE(E$4,1)))))</f>
        <v/>
      </c>
      <c r="F18" s="116" t="str">
        <f>IF(SUMIFS(Receipts!$H:$H,Receipts!$I:$I,"="&amp;$B18,Receipts!$E:$E,"&gt;="&amp;F$4,Receipts!$E:$E,"&lt;"&amp;EDATE(F$4,1))=0,"",
((SUMIFS(Receipts!$H:$H,Receipts!$I:$I,"="&amp;$B18,Receipts!$E:$E,"&gt;="&amp;F$4,Receipts!$E:$E,"&lt;"&amp;EDATE(F$4,1)))))</f>
        <v/>
      </c>
      <c r="G18" s="116" t="str">
        <f>IF(SUMIFS(Receipts!$H:$H,Receipts!$I:$I,"="&amp;$B18,Receipts!$E:$E,"&gt;="&amp;G$4,Receipts!$E:$E,"&lt;"&amp;EDATE(G$4,1))=0,"",
((SUMIFS(Receipts!$H:$H,Receipts!$I:$I,"="&amp;$B18,Receipts!$E:$E,"&gt;="&amp;G$4,Receipts!$E:$E,"&lt;"&amp;EDATE(G$4,1)))))</f>
        <v/>
      </c>
      <c r="H18" s="116" t="str">
        <f>IF(SUMIFS(Receipts!$H:$H,Receipts!$I:$I,"="&amp;$B18,Receipts!$E:$E,"&gt;="&amp;H$4,Receipts!$E:$E,"&lt;"&amp;EDATE(H$4,1))=0,"",
((SUMIFS(Receipts!$H:$H,Receipts!$I:$I,"="&amp;$B18,Receipts!$E:$E,"&gt;="&amp;H$4,Receipts!$E:$E,"&lt;"&amp;EDATE(H$4,1)))))</f>
        <v/>
      </c>
      <c r="I18" s="116" t="str">
        <f>IF(SUMIFS(Receipts!$H:$H,Receipts!$I:$I,"="&amp;$B18,Receipts!$E:$E,"&gt;="&amp;I$4,Receipts!$E:$E,"&lt;"&amp;EDATE(I$4,1))=0,"",
((SUMIFS(Receipts!$H:$H,Receipts!$I:$I,"="&amp;$B18,Receipts!$E:$E,"&gt;="&amp;I$4,Receipts!$E:$E,"&lt;"&amp;EDATE(I$4,1)))))</f>
        <v/>
      </c>
      <c r="J18" s="116" t="str">
        <f>IF(SUMIFS(Receipts!$H:$H,Receipts!$I:$I,"="&amp;$B18,Receipts!$E:$E,"&gt;="&amp;J$4,Receipts!$E:$E,"&lt;"&amp;EDATE(J$4,1))=0,"",
((SUMIFS(Receipts!$H:$H,Receipts!$I:$I,"="&amp;$B18,Receipts!$E:$E,"&gt;="&amp;J$4,Receipts!$E:$E,"&lt;"&amp;EDATE(J$4,1)))))</f>
        <v/>
      </c>
      <c r="K18" s="116" t="str">
        <f>IF(SUMIFS(Receipts!$H:$H,Receipts!$I:$I,"="&amp;$B18,Receipts!$E:$E,"&gt;="&amp;K$4,Receipts!$E:$E,"&lt;"&amp;EDATE(K$4,1))=0,"",
((SUMIFS(Receipts!$H:$H,Receipts!$I:$I,"="&amp;$B18,Receipts!$E:$E,"&gt;="&amp;K$4,Receipts!$E:$E,"&lt;"&amp;EDATE(K$4,1)))))</f>
        <v/>
      </c>
      <c r="L18" s="116" t="str">
        <f>IF(SUMIFS(Receipts!$H:$H,Receipts!$I:$I,"="&amp;$B18,Receipts!$E:$E,"&gt;="&amp;L$4,Receipts!$E:$E,"&lt;"&amp;EDATE(L$4,1))=0,"",
((SUMIFS(Receipts!$H:$H,Receipts!$I:$I,"="&amp;$B18,Receipts!$E:$E,"&gt;="&amp;L$4,Receipts!$E:$E,"&lt;"&amp;EDATE(L$4,1)))))</f>
        <v/>
      </c>
      <c r="M18" s="116" t="str">
        <f>IF(SUMIFS(Receipts!$H:$H,Receipts!$I:$I,"="&amp;$B18,Receipts!$E:$E,"&gt;="&amp;M$4,Receipts!$E:$E,"&lt;"&amp;EDATE(M$4,1))=0,"",
((SUMIFS(Receipts!$H:$H,Receipts!$I:$I,"="&amp;$B18,Receipts!$E:$E,"&gt;="&amp;M$4,Receipts!$E:$E,"&lt;"&amp;EDATE(M$4,1)))))</f>
        <v/>
      </c>
      <c r="N18" s="116" t="str">
        <f>IF(SUMIFS(Receipts!$H:$H,Receipts!$I:$I,"="&amp;$B18,Receipts!$E:$E,"&gt;="&amp;N$4,Receipts!$E:$E,"&lt;"&amp;EDATE(N$4,1))=0,"",
((SUMIFS(Receipts!$H:$H,Receipts!$I:$I,"="&amp;$B18,Receipts!$E:$E,"&gt;="&amp;N$4,Receipts!$E:$E,"&lt;"&amp;EDATE(N$4,1)))))</f>
        <v/>
      </c>
      <c r="O18" s="116">
        <f t="shared" si="9"/>
        <v>0</v>
      </c>
      <c r="P18" s="116">
        <f>SUMIFS(Receipts!$H:$H,Receipts!$I:$I,"="&amp;$B18,Receipts!$E:$E,"="&amp;"")</f>
        <v>0</v>
      </c>
      <c r="Q18" s="116">
        <f t="shared" si="10"/>
        <v>0</v>
      </c>
      <c r="R18" s="116">
        <f>VLOOKUP(B18,SETUP!S:V,4,FALSE)</f>
        <v>0</v>
      </c>
      <c r="S18" s="116">
        <f t="shared" si="11"/>
        <v>0</v>
      </c>
      <c r="T18" s="177">
        <f t="shared" si="2"/>
        <v>0</v>
      </c>
    </row>
    <row r="19" spans="2:20" x14ac:dyDescent="0.3">
      <c r="B19" s="182" t="str">
        <f>SETUP!S17</f>
        <v>Spare Code</v>
      </c>
      <c r="C19" s="116" t="str">
        <f>IF(SUMIFS(Receipts!$H:$H,Receipts!$I:$I,"="&amp;$B19,Receipts!$E:$E,"&gt;="&amp;C$4,Receipts!$E:$E,"&lt;"&amp;EDATE(C$4,1))=0,"",
((SUMIFS(Receipts!$H:$H,Receipts!$I:$I,"="&amp;$B19,Receipts!$E:$E,"&gt;="&amp;C$4,Receipts!$E:$E,"&lt;"&amp;EDATE(C$4,1)))))</f>
        <v/>
      </c>
      <c r="D19" s="116" t="str">
        <f>IF(SUMIFS(Receipts!$H:$H,Receipts!$I:$I,"="&amp;$B19,Receipts!$E:$E,"&gt;="&amp;D$4,Receipts!$E:$E,"&lt;"&amp;EDATE(D$4,1))=0,"",
((SUMIFS(Receipts!$H:$H,Receipts!$I:$I,"="&amp;$B19,Receipts!$E:$E,"&gt;="&amp;D$4,Receipts!$E:$E,"&lt;"&amp;EDATE(D$4,1)))))</f>
        <v/>
      </c>
      <c r="E19" s="116" t="str">
        <f>IF(SUMIFS(Receipts!$H:$H,Receipts!$I:$I,"="&amp;$B19,Receipts!$E:$E,"&gt;="&amp;E$4,Receipts!$E:$E,"&lt;"&amp;EDATE(E$4,1))=0,"",
((SUMIFS(Receipts!$H:$H,Receipts!$I:$I,"="&amp;$B19,Receipts!$E:$E,"&gt;="&amp;E$4,Receipts!$E:$E,"&lt;"&amp;EDATE(E$4,1)))))</f>
        <v/>
      </c>
      <c r="F19" s="116" t="str">
        <f>IF(SUMIFS(Receipts!$H:$H,Receipts!$I:$I,"="&amp;$B19,Receipts!$E:$E,"&gt;="&amp;F$4,Receipts!$E:$E,"&lt;"&amp;EDATE(F$4,1))=0,"",
((SUMIFS(Receipts!$H:$H,Receipts!$I:$I,"="&amp;$B19,Receipts!$E:$E,"&gt;="&amp;F$4,Receipts!$E:$E,"&lt;"&amp;EDATE(F$4,1)))))</f>
        <v/>
      </c>
      <c r="G19" s="116" t="str">
        <f>IF(SUMIFS(Receipts!$H:$H,Receipts!$I:$I,"="&amp;$B19,Receipts!$E:$E,"&gt;="&amp;G$4,Receipts!$E:$E,"&lt;"&amp;EDATE(G$4,1))=0,"",
((SUMIFS(Receipts!$H:$H,Receipts!$I:$I,"="&amp;$B19,Receipts!$E:$E,"&gt;="&amp;G$4,Receipts!$E:$E,"&lt;"&amp;EDATE(G$4,1)))))</f>
        <v/>
      </c>
      <c r="H19" s="116" t="str">
        <f>IF(SUMIFS(Receipts!$H:$H,Receipts!$I:$I,"="&amp;$B19,Receipts!$E:$E,"&gt;="&amp;H$4,Receipts!$E:$E,"&lt;"&amp;EDATE(H$4,1))=0,"",
((SUMIFS(Receipts!$H:$H,Receipts!$I:$I,"="&amp;$B19,Receipts!$E:$E,"&gt;="&amp;H$4,Receipts!$E:$E,"&lt;"&amp;EDATE(H$4,1)))))</f>
        <v/>
      </c>
      <c r="I19" s="116" t="str">
        <f>IF(SUMIFS(Receipts!$H:$H,Receipts!$I:$I,"="&amp;$B19,Receipts!$E:$E,"&gt;="&amp;I$4,Receipts!$E:$E,"&lt;"&amp;EDATE(I$4,1))=0,"",
((SUMIFS(Receipts!$H:$H,Receipts!$I:$I,"="&amp;$B19,Receipts!$E:$E,"&gt;="&amp;I$4,Receipts!$E:$E,"&lt;"&amp;EDATE(I$4,1)))))</f>
        <v/>
      </c>
      <c r="J19" s="116" t="str">
        <f>IF(SUMIFS(Receipts!$H:$H,Receipts!$I:$I,"="&amp;$B19,Receipts!$E:$E,"&gt;="&amp;J$4,Receipts!$E:$E,"&lt;"&amp;EDATE(J$4,1))=0,"",
((SUMIFS(Receipts!$H:$H,Receipts!$I:$I,"="&amp;$B19,Receipts!$E:$E,"&gt;="&amp;J$4,Receipts!$E:$E,"&lt;"&amp;EDATE(J$4,1)))))</f>
        <v/>
      </c>
      <c r="K19" s="116" t="str">
        <f>IF(SUMIFS(Receipts!$H:$H,Receipts!$I:$I,"="&amp;$B19,Receipts!$E:$E,"&gt;="&amp;K$4,Receipts!$E:$E,"&lt;"&amp;EDATE(K$4,1))=0,"",
((SUMIFS(Receipts!$H:$H,Receipts!$I:$I,"="&amp;$B19,Receipts!$E:$E,"&gt;="&amp;K$4,Receipts!$E:$E,"&lt;"&amp;EDATE(K$4,1)))))</f>
        <v/>
      </c>
      <c r="L19" s="116" t="str">
        <f>IF(SUMIFS(Receipts!$H:$H,Receipts!$I:$I,"="&amp;$B19,Receipts!$E:$E,"&gt;="&amp;L$4,Receipts!$E:$E,"&lt;"&amp;EDATE(L$4,1))=0,"",
((SUMIFS(Receipts!$H:$H,Receipts!$I:$I,"="&amp;$B19,Receipts!$E:$E,"&gt;="&amp;L$4,Receipts!$E:$E,"&lt;"&amp;EDATE(L$4,1)))))</f>
        <v/>
      </c>
      <c r="M19" s="116" t="str">
        <f>IF(SUMIFS(Receipts!$H:$H,Receipts!$I:$I,"="&amp;$B19,Receipts!$E:$E,"&gt;="&amp;M$4,Receipts!$E:$E,"&lt;"&amp;EDATE(M$4,1))=0,"",
((SUMIFS(Receipts!$H:$H,Receipts!$I:$I,"="&amp;$B19,Receipts!$E:$E,"&gt;="&amp;M$4,Receipts!$E:$E,"&lt;"&amp;EDATE(M$4,1)))))</f>
        <v/>
      </c>
      <c r="N19" s="116" t="str">
        <f>IF(SUMIFS(Receipts!$H:$H,Receipts!$I:$I,"="&amp;$B19,Receipts!$E:$E,"&gt;="&amp;N$4,Receipts!$E:$E,"&lt;"&amp;EDATE(N$4,1))=0,"",
((SUMIFS(Receipts!$H:$H,Receipts!$I:$I,"="&amp;$B19,Receipts!$E:$E,"&gt;="&amp;N$4,Receipts!$E:$E,"&lt;"&amp;EDATE(N$4,1)))))</f>
        <v/>
      </c>
      <c r="O19" s="116">
        <f t="shared" si="9"/>
        <v>0</v>
      </c>
      <c r="P19" s="116">
        <f>SUMIFS(Receipts!$H:$H,Receipts!$I:$I,"="&amp;$B19,Receipts!$E:$E,"="&amp;"")</f>
        <v>0</v>
      </c>
      <c r="Q19" s="116">
        <f t="shared" si="10"/>
        <v>0</v>
      </c>
      <c r="R19" s="116">
        <f>VLOOKUP(B19,SETUP!S:V,4,FALSE)</f>
        <v>0</v>
      </c>
      <c r="S19" s="116">
        <f t="shared" si="11"/>
        <v>0</v>
      </c>
      <c r="T19" s="177">
        <f t="shared" si="2"/>
        <v>0</v>
      </c>
    </row>
    <row r="20" spans="2:20" x14ac:dyDescent="0.3">
      <c r="B20" s="182" t="str">
        <f>SETUP!S18</f>
        <v>Spare Code</v>
      </c>
      <c r="C20" s="116" t="str">
        <f>IF(SUMIFS(Receipts!$H:$H,Receipts!$I:$I,"="&amp;$B20,Receipts!$E:$E,"&gt;="&amp;C$4,Receipts!$E:$E,"&lt;"&amp;EDATE(C$4,1))=0,"",
((SUMIFS(Receipts!$H:$H,Receipts!$I:$I,"="&amp;$B20,Receipts!$E:$E,"&gt;="&amp;C$4,Receipts!$E:$E,"&lt;"&amp;EDATE(C$4,1)))))</f>
        <v/>
      </c>
      <c r="D20" s="116" t="str">
        <f>IF(SUMIFS(Receipts!$H:$H,Receipts!$I:$I,"="&amp;$B20,Receipts!$E:$E,"&gt;="&amp;D$4,Receipts!$E:$E,"&lt;"&amp;EDATE(D$4,1))=0,"",
((SUMIFS(Receipts!$H:$H,Receipts!$I:$I,"="&amp;$B20,Receipts!$E:$E,"&gt;="&amp;D$4,Receipts!$E:$E,"&lt;"&amp;EDATE(D$4,1)))))</f>
        <v/>
      </c>
      <c r="E20" s="116" t="str">
        <f>IF(SUMIFS(Receipts!$H:$H,Receipts!$I:$I,"="&amp;$B20,Receipts!$E:$E,"&gt;="&amp;E$4,Receipts!$E:$E,"&lt;"&amp;EDATE(E$4,1))=0,"",
((SUMIFS(Receipts!$H:$H,Receipts!$I:$I,"="&amp;$B20,Receipts!$E:$E,"&gt;="&amp;E$4,Receipts!$E:$E,"&lt;"&amp;EDATE(E$4,1)))))</f>
        <v/>
      </c>
      <c r="F20" s="116" t="str">
        <f>IF(SUMIFS(Receipts!$H:$H,Receipts!$I:$I,"="&amp;$B20,Receipts!$E:$E,"&gt;="&amp;F$4,Receipts!$E:$E,"&lt;"&amp;EDATE(F$4,1))=0,"",
((SUMIFS(Receipts!$H:$H,Receipts!$I:$I,"="&amp;$B20,Receipts!$E:$E,"&gt;="&amp;F$4,Receipts!$E:$E,"&lt;"&amp;EDATE(F$4,1)))))</f>
        <v/>
      </c>
      <c r="G20" s="116" t="str">
        <f>IF(SUMIFS(Receipts!$H:$H,Receipts!$I:$I,"="&amp;$B20,Receipts!$E:$E,"&gt;="&amp;G$4,Receipts!$E:$E,"&lt;"&amp;EDATE(G$4,1))=0,"",
((SUMIFS(Receipts!$H:$H,Receipts!$I:$I,"="&amp;$B20,Receipts!$E:$E,"&gt;="&amp;G$4,Receipts!$E:$E,"&lt;"&amp;EDATE(G$4,1)))))</f>
        <v/>
      </c>
      <c r="H20" s="116" t="str">
        <f>IF(SUMIFS(Receipts!$H:$H,Receipts!$I:$I,"="&amp;$B20,Receipts!$E:$E,"&gt;="&amp;H$4,Receipts!$E:$E,"&lt;"&amp;EDATE(H$4,1))=0,"",
((SUMIFS(Receipts!$H:$H,Receipts!$I:$I,"="&amp;$B20,Receipts!$E:$E,"&gt;="&amp;H$4,Receipts!$E:$E,"&lt;"&amp;EDATE(H$4,1)))))</f>
        <v/>
      </c>
      <c r="I20" s="116" t="str">
        <f>IF(SUMIFS(Receipts!$H:$H,Receipts!$I:$I,"="&amp;$B20,Receipts!$E:$E,"&gt;="&amp;I$4,Receipts!$E:$E,"&lt;"&amp;EDATE(I$4,1))=0,"",
((SUMIFS(Receipts!$H:$H,Receipts!$I:$I,"="&amp;$B20,Receipts!$E:$E,"&gt;="&amp;I$4,Receipts!$E:$E,"&lt;"&amp;EDATE(I$4,1)))))</f>
        <v/>
      </c>
      <c r="J20" s="116" t="str">
        <f>IF(SUMIFS(Receipts!$H:$H,Receipts!$I:$I,"="&amp;$B20,Receipts!$E:$E,"&gt;="&amp;J$4,Receipts!$E:$E,"&lt;"&amp;EDATE(J$4,1))=0,"",
((SUMIFS(Receipts!$H:$H,Receipts!$I:$I,"="&amp;$B20,Receipts!$E:$E,"&gt;="&amp;J$4,Receipts!$E:$E,"&lt;"&amp;EDATE(J$4,1)))))</f>
        <v/>
      </c>
      <c r="K20" s="116" t="str">
        <f>IF(SUMIFS(Receipts!$H:$H,Receipts!$I:$I,"="&amp;$B20,Receipts!$E:$E,"&gt;="&amp;K$4,Receipts!$E:$E,"&lt;"&amp;EDATE(K$4,1))=0,"",
((SUMIFS(Receipts!$H:$H,Receipts!$I:$I,"="&amp;$B20,Receipts!$E:$E,"&gt;="&amp;K$4,Receipts!$E:$E,"&lt;"&amp;EDATE(K$4,1)))))</f>
        <v/>
      </c>
      <c r="L20" s="116" t="str">
        <f>IF(SUMIFS(Receipts!$H:$H,Receipts!$I:$I,"="&amp;$B20,Receipts!$E:$E,"&gt;="&amp;L$4,Receipts!$E:$E,"&lt;"&amp;EDATE(L$4,1))=0,"",
((SUMIFS(Receipts!$H:$H,Receipts!$I:$I,"="&amp;$B20,Receipts!$E:$E,"&gt;="&amp;L$4,Receipts!$E:$E,"&lt;"&amp;EDATE(L$4,1)))))</f>
        <v/>
      </c>
      <c r="M20" s="116" t="str">
        <f>IF(SUMIFS(Receipts!$H:$H,Receipts!$I:$I,"="&amp;$B20,Receipts!$E:$E,"&gt;="&amp;M$4,Receipts!$E:$E,"&lt;"&amp;EDATE(M$4,1))=0,"",
((SUMIFS(Receipts!$H:$H,Receipts!$I:$I,"="&amp;$B20,Receipts!$E:$E,"&gt;="&amp;M$4,Receipts!$E:$E,"&lt;"&amp;EDATE(M$4,1)))))</f>
        <v/>
      </c>
      <c r="N20" s="116" t="str">
        <f>IF(SUMIFS(Receipts!$H:$H,Receipts!$I:$I,"="&amp;$B20,Receipts!$E:$E,"&gt;="&amp;N$4,Receipts!$E:$E,"&lt;"&amp;EDATE(N$4,1))=0,"",
((SUMIFS(Receipts!$H:$H,Receipts!$I:$I,"="&amp;$B20,Receipts!$E:$E,"&gt;="&amp;N$4,Receipts!$E:$E,"&lt;"&amp;EDATE(N$4,1)))))</f>
        <v/>
      </c>
      <c r="O20" s="116">
        <f t="shared" si="9"/>
        <v>0</v>
      </c>
      <c r="P20" s="116">
        <f>SUMIFS(Receipts!$H:$H,Receipts!$I:$I,"="&amp;$B20,Receipts!$E:$E,"="&amp;"")</f>
        <v>0</v>
      </c>
      <c r="Q20" s="116">
        <f t="shared" si="10"/>
        <v>0</v>
      </c>
      <c r="R20" s="116">
        <f>VLOOKUP(B20,SETUP!S:V,4,FALSE)</f>
        <v>0</v>
      </c>
      <c r="S20" s="116">
        <f t="shared" si="11"/>
        <v>0</v>
      </c>
      <c r="T20" s="177">
        <f t="shared" si="2"/>
        <v>0</v>
      </c>
    </row>
    <row r="21" spans="2:20" x14ac:dyDescent="0.3">
      <c r="B21" s="18" t="s">
        <v>103</v>
      </c>
      <c r="C21" s="128">
        <f>SUM(C6:C20)</f>
        <v>170677.83</v>
      </c>
      <c r="D21" s="128">
        <f t="shared" ref="D21:S21" si="12">SUM(D6:D20)</f>
        <v>65.16</v>
      </c>
      <c r="E21" s="128">
        <f t="shared" si="12"/>
        <v>0</v>
      </c>
      <c r="F21" s="128">
        <f t="shared" si="12"/>
        <v>0</v>
      </c>
      <c r="G21" s="128">
        <f t="shared" si="12"/>
        <v>0</v>
      </c>
      <c r="H21" s="128">
        <f t="shared" si="12"/>
        <v>0</v>
      </c>
      <c r="I21" s="128">
        <f t="shared" si="12"/>
        <v>0</v>
      </c>
      <c r="J21" s="128">
        <f t="shared" si="12"/>
        <v>0</v>
      </c>
      <c r="K21" s="128">
        <f t="shared" si="12"/>
        <v>0</v>
      </c>
      <c r="L21" s="128">
        <f t="shared" si="12"/>
        <v>0</v>
      </c>
      <c r="M21" s="128">
        <f t="shared" si="12"/>
        <v>0</v>
      </c>
      <c r="N21" s="128">
        <f t="shared" si="12"/>
        <v>0</v>
      </c>
      <c r="O21" s="128">
        <f t="shared" si="12"/>
        <v>170742.99</v>
      </c>
      <c r="P21" s="128">
        <f t="shared" si="12"/>
        <v>0</v>
      </c>
      <c r="Q21" s="128">
        <f t="shared" si="12"/>
        <v>170742.99</v>
      </c>
      <c r="R21" s="128">
        <f t="shared" si="12"/>
        <v>44535</v>
      </c>
      <c r="S21" s="128">
        <f t="shared" si="12"/>
        <v>126207.98999999999</v>
      </c>
      <c r="T21" s="178">
        <f>SUM(T6:T14)</f>
        <v>1</v>
      </c>
    </row>
    <row r="22" spans="2:20" x14ac:dyDescent="0.3">
      <c r="Q22" s="179">
        <f>SUM(Receipts!H:H)</f>
        <v>170742.99</v>
      </c>
    </row>
    <row r="23" spans="2:20" x14ac:dyDescent="0.3">
      <c r="N23" s="180"/>
      <c r="O23" s="180"/>
      <c r="P23" s="181" t="s">
        <v>91</v>
      </c>
      <c r="Q23" s="146">
        <f>SUM(Receipts!H:H)</f>
        <v>170742.99</v>
      </c>
    </row>
    <row r="25" spans="2:20" x14ac:dyDescent="0.3">
      <c r="N25" s="11" t="s">
        <v>263</v>
      </c>
      <c r="Q25" s="266">
        <f>Q21-Q11</f>
        <v>15029.989999999991</v>
      </c>
      <c r="R25" s="11" t="s">
        <v>97</v>
      </c>
      <c r="S25" s="268" t="s">
        <v>262</v>
      </c>
    </row>
  </sheetData>
  <mergeCells count="5">
    <mergeCell ref="P4:P5"/>
    <mergeCell ref="Q4:Q5"/>
    <mergeCell ref="R4:R5"/>
    <mergeCell ref="S4:S5"/>
    <mergeCell ref="B4:B5"/>
  </mergeCells>
  <conditionalFormatting sqref="T2 T27:T1048576">
    <cfRule type="cellIs" dxfId="0" priority="1" operator="equal">
      <formula>"Shortfall"</formula>
    </cfRule>
  </conditionalFormatting>
  <pageMargins left="0.25" right="0.25" top="0.75" bottom="0.75" header="0.3" footer="0.3"/>
  <pageSetup scale="78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B86B7-582D-4722-854C-2E226E3A3B3C}">
  <sheetPr>
    <tabColor rgb="FFFFC000"/>
  </sheetPr>
  <dimension ref="A1:Q72"/>
  <sheetViews>
    <sheetView showGridLines="0" zoomScale="132" zoomScaleNormal="132" workbookViewId="0">
      <selection activeCell="E17" sqref="E17"/>
    </sheetView>
  </sheetViews>
  <sheetFormatPr defaultColWidth="8.81640625" defaultRowHeight="13" x14ac:dyDescent="0.35"/>
  <cols>
    <col min="1" max="1" width="2.1796875" style="137" customWidth="1"/>
    <col min="2" max="2" width="18.81640625" style="137" bestFit="1" customWidth="1"/>
    <col min="3" max="3" width="23.453125" style="137" bestFit="1" customWidth="1"/>
    <col min="4" max="4" width="10.453125" style="137" bestFit="1" customWidth="1"/>
    <col min="5" max="5" width="10.54296875" style="137" bestFit="1" customWidth="1"/>
    <col min="6" max="6" width="10.81640625" style="137" bestFit="1" customWidth="1"/>
    <col min="7" max="7" width="10.54296875" style="137" bestFit="1" customWidth="1"/>
    <col min="8" max="8" width="7.1796875" style="138" bestFit="1" customWidth="1"/>
    <col min="9" max="9" width="18.453125" style="137" bestFit="1" customWidth="1"/>
    <col min="10" max="10" width="6.81640625" style="199" bestFit="1" customWidth="1"/>
    <col min="11" max="11" width="3.1796875" style="137" bestFit="1" customWidth="1"/>
    <col min="12" max="12" width="18" style="137" bestFit="1" customWidth="1"/>
    <col min="13" max="13" width="6.81640625" style="137" bestFit="1" customWidth="1"/>
    <col min="14" max="14" width="3.1796875" style="137" bestFit="1" customWidth="1"/>
    <col min="15" max="16384" width="8.81640625" style="137"/>
  </cols>
  <sheetData>
    <row r="1" spans="1:17" x14ac:dyDescent="0.35">
      <c r="B1" s="30" t="str">
        <f>SETUP!C4&amp;" Parish Council"</f>
        <v>Barnton Parish Council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196"/>
      <c r="O1" s="196"/>
      <c r="P1" s="196"/>
      <c r="Q1" s="196"/>
    </row>
    <row r="2" spans="1:17" x14ac:dyDescent="0.35">
      <c r="B2" s="30" t="s">
        <v>151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196"/>
      <c r="O2" s="196"/>
      <c r="P2" s="196"/>
      <c r="Q2" s="196"/>
    </row>
    <row r="3" spans="1:17" ht="12" customHeight="1" x14ac:dyDescent="0.35">
      <c r="B3" s="87"/>
      <c r="C3" s="87"/>
      <c r="D3" s="87"/>
      <c r="E3" s="30"/>
      <c r="F3" s="30"/>
      <c r="G3" s="30"/>
      <c r="H3" s="30"/>
      <c r="I3" s="30"/>
      <c r="J3" s="30"/>
      <c r="K3" s="30"/>
      <c r="L3" s="30"/>
      <c r="M3" s="30"/>
      <c r="N3" s="196"/>
      <c r="O3" s="196"/>
      <c r="P3" s="196"/>
      <c r="Q3" s="196"/>
    </row>
    <row r="4" spans="1:17" s="138" customFormat="1" ht="16" x14ac:dyDescent="0.35">
      <c r="B4" s="338" t="s">
        <v>123</v>
      </c>
      <c r="C4" s="20" t="s">
        <v>6</v>
      </c>
      <c r="D4" s="20" t="s">
        <v>30</v>
      </c>
      <c r="E4" s="30"/>
      <c r="H4" s="176"/>
      <c r="K4" s="176"/>
    </row>
    <row r="5" spans="1:17" s="139" customFormat="1" x14ac:dyDescent="0.35">
      <c r="A5" s="137"/>
      <c r="B5" s="338"/>
      <c r="C5" s="55" t="str">
        <f>SETUP!B18</f>
        <v>Current</v>
      </c>
      <c r="D5" s="116">
        <f>'Bank Recons'!G19</f>
        <v>30201.81</v>
      </c>
      <c r="E5" s="30"/>
      <c r="K5" s="197"/>
    </row>
    <row r="6" spans="1:17" x14ac:dyDescent="0.35">
      <c r="C6" s="55" t="str">
        <f>SETUP!B19</f>
        <v>Reserve</v>
      </c>
      <c r="D6" s="116">
        <f>'Bank Recons'!P19</f>
        <v>64320.6</v>
      </c>
      <c r="E6" s="30"/>
      <c r="H6" s="137"/>
    </row>
    <row r="7" spans="1:17" x14ac:dyDescent="0.35">
      <c r="C7" s="55" t="str">
        <f>SETUP!B20</f>
        <v>Salary</v>
      </c>
      <c r="D7" s="116">
        <f>'Bank Recons'!G38</f>
        <v>87640.75</v>
      </c>
      <c r="E7" s="30"/>
      <c r="H7" s="137"/>
    </row>
    <row r="8" spans="1:17" x14ac:dyDescent="0.35">
      <c r="C8" s="19" t="s">
        <v>95</v>
      </c>
      <c r="D8" s="128">
        <f>SUM(D5:D7)</f>
        <v>182163.16</v>
      </c>
      <c r="E8" s="30"/>
      <c r="H8" s="137"/>
      <c r="K8" s="197"/>
    </row>
    <row r="9" spans="1:17" x14ac:dyDescent="0.3">
      <c r="C9" s="205" t="s">
        <v>32</v>
      </c>
      <c r="D9" s="116">
        <f>-SUMIF(Payments!$Q:$Q,"="&amp;"",Payments!$J:$J)</f>
        <v>0</v>
      </c>
      <c r="E9" s="30"/>
      <c r="H9" s="137"/>
    </row>
    <row r="10" spans="1:17" x14ac:dyDescent="0.3">
      <c r="C10" s="205" t="s">
        <v>31</v>
      </c>
      <c r="D10" s="116">
        <f>Income!P21</f>
        <v>0</v>
      </c>
      <c r="E10" s="30"/>
      <c r="H10" s="137"/>
      <c r="J10" s="137"/>
    </row>
    <row r="11" spans="1:17" x14ac:dyDescent="0.3">
      <c r="C11" s="205" t="str">
        <f>SETUP!C13&amp;" VAT to Reclaim"</f>
        <v>2026-27 VAT to Reclaim</v>
      </c>
      <c r="D11" s="116">
        <f>SUMIF(Payments!P:P,"",Payments!I:I)</f>
        <v>2394.5099999999998</v>
      </c>
      <c r="E11" s="30"/>
      <c r="F11" s="122"/>
      <c r="H11" s="137"/>
      <c r="J11" s="137"/>
    </row>
    <row r="12" spans="1:17" x14ac:dyDescent="0.3">
      <c r="C12" s="205" t="s">
        <v>224</v>
      </c>
      <c r="D12" s="116">
        <v>0</v>
      </c>
      <c r="E12" s="30"/>
      <c r="F12" s="122"/>
      <c r="H12" s="137"/>
      <c r="J12" s="137"/>
    </row>
    <row r="13" spans="1:17" s="32" customFormat="1" x14ac:dyDescent="0.35">
      <c r="A13" s="137"/>
      <c r="B13" s="137"/>
      <c r="C13" s="19" t="s">
        <v>112</v>
      </c>
      <c r="D13" s="128">
        <f>SUM(D8:D12)</f>
        <v>184557.67</v>
      </c>
      <c r="E13" s="30"/>
    </row>
    <row r="14" spans="1:17" x14ac:dyDescent="0.3">
      <c r="C14" s="200"/>
      <c r="D14" s="201"/>
      <c r="E14" s="30"/>
      <c r="H14" s="137"/>
      <c r="J14" s="137"/>
    </row>
    <row r="15" spans="1:17" x14ac:dyDescent="0.3">
      <c r="C15" s="200"/>
      <c r="D15" s="201"/>
      <c r="E15" s="30"/>
      <c r="H15" s="137"/>
      <c r="J15" s="137"/>
    </row>
    <row r="16" spans="1:17" x14ac:dyDescent="0.3">
      <c r="B16" s="339" t="str">
        <f>SETUP!C13&amp;" Summary"</f>
        <v>2026-27 Summary</v>
      </c>
      <c r="C16" s="21" t="s">
        <v>125</v>
      </c>
      <c r="D16" s="22" t="s">
        <v>13</v>
      </c>
      <c r="E16" s="30"/>
      <c r="H16" s="137"/>
      <c r="J16" s="137"/>
    </row>
    <row r="17" spans="2:10" x14ac:dyDescent="0.3">
      <c r="B17" s="339"/>
      <c r="C17" s="147" t="s">
        <v>124</v>
      </c>
      <c r="D17" s="202">
        <f>SETUP!C21</f>
        <v>53394.369999999995</v>
      </c>
      <c r="E17" s="267" t="s">
        <v>267</v>
      </c>
      <c r="H17" s="137"/>
      <c r="J17" s="137"/>
    </row>
    <row r="18" spans="2:10" x14ac:dyDescent="0.3">
      <c r="C18" s="147" t="s">
        <v>18</v>
      </c>
      <c r="D18" s="202">
        <f>SUM(Receipts!H:H)</f>
        <v>170742.99</v>
      </c>
      <c r="E18" s="30"/>
      <c r="H18" s="137"/>
      <c r="J18" s="137"/>
    </row>
    <row r="19" spans="2:10" x14ac:dyDescent="0.3">
      <c r="C19" s="147" t="s">
        <v>17</v>
      </c>
      <c r="D19" s="202">
        <f>SUM(Payments!J:J)</f>
        <v>41974.19999999999</v>
      </c>
      <c r="E19" s="30"/>
      <c r="H19" s="137"/>
      <c r="J19" s="137"/>
    </row>
    <row r="20" spans="2:10" x14ac:dyDescent="0.35">
      <c r="C20" s="19" t="s">
        <v>152</v>
      </c>
      <c r="D20" s="128">
        <f>D17+D18-D19</f>
        <v>182163.16</v>
      </c>
      <c r="E20" s="30"/>
      <c r="H20" s="137"/>
      <c r="J20" s="137"/>
    </row>
    <row r="21" spans="2:10" x14ac:dyDescent="0.3">
      <c r="C21" s="200"/>
      <c r="D21" s="201"/>
      <c r="H21" s="137"/>
      <c r="J21" s="137"/>
    </row>
    <row r="22" spans="2:10" x14ac:dyDescent="0.3">
      <c r="C22" s="200"/>
      <c r="D22" s="201"/>
      <c r="H22" s="137"/>
      <c r="J22" s="137"/>
    </row>
    <row r="23" spans="2:10" ht="26" x14ac:dyDescent="0.35">
      <c r="B23" s="338" t="s">
        <v>119</v>
      </c>
      <c r="C23" s="246" t="s">
        <v>58</v>
      </c>
      <c r="D23" s="247" t="s">
        <v>232</v>
      </c>
      <c r="E23" s="247" t="s">
        <v>233</v>
      </c>
      <c r="F23" s="247" t="s">
        <v>234</v>
      </c>
      <c r="G23" s="247" t="s">
        <v>235</v>
      </c>
      <c r="H23" s="137"/>
      <c r="J23" s="137"/>
    </row>
    <row r="24" spans="2:10" x14ac:dyDescent="0.3">
      <c r="B24" s="338"/>
      <c r="C24" s="147" t="str">
        <f>Expenditure!B56</f>
        <v>Building Maintenance</v>
      </c>
      <c r="D24" s="202">
        <v>1000</v>
      </c>
      <c r="E24" s="202">
        <f>VLOOKUP(C24,SETUP!H:L,5,FALSE)</f>
        <v>0</v>
      </c>
      <c r="F24" s="203"/>
      <c r="G24" s="202">
        <f>D24-E24+F24</f>
        <v>1000</v>
      </c>
      <c r="H24" s="137"/>
      <c r="J24" s="137"/>
    </row>
    <row r="25" spans="2:10" x14ac:dyDescent="0.3">
      <c r="C25" s="147" t="str">
        <f>Expenditure!B57</f>
        <v>Business Contingency</v>
      </c>
      <c r="D25" s="202">
        <v>8000</v>
      </c>
      <c r="E25" s="202">
        <f>VLOOKUP(C25,SETUP!H:L,5,FALSE)</f>
        <v>0</v>
      </c>
      <c r="F25" s="203"/>
      <c r="G25" s="202">
        <f t="shared" ref="G25:G31" si="0">D25-E25+F25</f>
        <v>8000</v>
      </c>
      <c r="H25" s="137"/>
      <c r="J25" s="137"/>
    </row>
    <row r="26" spans="2:10" x14ac:dyDescent="0.3">
      <c r="C26" s="147" t="str">
        <f>Expenditure!B58</f>
        <v>Emergency</v>
      </c>
      <c r="D26" s="202">
        <v>5000</v>
      </c>
      <c r="E26" s="202">
        <f>VLOOKUP(C26,SETUP!H:L,5,FALSE)</f>
        <v>0</v>
      </c>
      <c r="F26" s="203"/>
      <c r="G26" s="202">
        <f t="shared" si="0"/>
        <v>5000</v>
      </c>
      <c r="H26" s="137"/>
      <c r="J26" s="137"/>
    </row>
    <row r="27" spans="2:10" x14ac:dyDescent="0.3">
      <c r="C27" s="147" t="str">
        <f>Expenditure!B59</f>
        <v>General Reserves</v>
      </c>
      <c r="D27" s="202">
        <v>10000</v>
      </c>
      <c r="E27" s="202">
        <f>VLOOKUP(C27,SETUP!H:L,5,FALSE)</f>
        <v>0</v>
      </c>
      <c r="F27" s="203"/>
      <c r="G27" s="202">
        <f t="shared" si="0"/>
        <v>10000</v>
      </c>
      <c r="H27" s="137"/>
      <c r="J27" s="137"/>
    </row>
    <row r="28" spans="2:10" x14ac:dyDescent="0.3">
      <c r="C28" s="147" t="str">
        <f>Expenditure!B60</f>
        <v>Grounds Equipment</v>
      </c>
      <c r="D28" s="202">
        <v>8000</v>
      </c>
      <c r="E28" s="202">
        <f>VLOOKUP(C28,SETUP!H:L,5,FALSE)</f>
        <v>0</v>
      </c>
      <c r="F28" s="203"/>
      <c r="G28" s="202">
        <f t="shared" si="0"/>
        <v>8000</v>
      </c>
      <c r="H28" s="137"/>
      <c r="J28" s="137"/>
    </row>
    <row r="29" spans="2:10" x14ac:dyDescent="0.3">
      <c r="C29" s="147" t="str">
        <f>Expenditure!B61</f>
        <v>Legal</v>
      </c>
      <c r="D29" s="202">
        <v>17000</v>
      </c>
      <c r="E29" s="202">
        <f>VLOOKUP(C29,SETUP!H:L,5,FALSE)</f>
        <v>0</v>
      </c>
      <c r="F29" s="203"/>
      <c r="G29" s="202">
        <f t="shared" si="0"/>
        <v>17000</v>
      </c>
      <c r="H29" s="137"/>
      <c r="J29" s="137"/>
    </row>
    <row r="30" spans="2:10" x14ac:dyDescent="0.3">
      <c r="C30" s="147" t="str">
        <f>Expenditure!B62</f>
        <v>Roundabout</v>
      </c>
      <c r="D30" s="202">
        <v>1000</v>
      </c>
      <c r="E30" s="202">
        <f>VLOOKUP(C30,SETUP!H:L,5,FALSE)</f>
        <v>0</v>
      </c>
      <c r="F30" s="203"/>
      <c r="G30" s="202">
        <f t="shared" si="0"/>
        <v>1000</v>
      </c>
      <c r="H30" s="137"/>
      <c r="J30" s="137"/>
    </row>
    <row r="31" spans="2:10" x14ac:dyDescent="0.3">
      <c r="C31" s="147" t="str">
        <f>Expenditure!B63</f>
        <v>Spare Code</v>
      </c>
      <c r="D31" s="202">
        <v>0</v>
      </c>
      <c r="E31" s="202">
        <f>VLOOKUP(C31,SETUP!H:L,5,FALSE)</f>
        <v>0</v>
      </c>
      <c r="F31" s="203"/>
      <c r="G31" s="202">
        <f t="shared" si="0"/>
        <v>0</v>
      </c>
      <c r="H31" s="137"/>
      <c r="J31" s="137"/>
    </row>
    <row r="32" spans="2:10" x14ac:dyDescent="0.35">
      <c r="C32" s="19" t="s">
        <v>231</v>
      </c>
      <c r="D32" s="128">
        <f>SUM(D24:D31)</f>
        <v>50000</v>
      </c>
      <c r="E32" s="128">
        <f t="shared" ref="E32:G32" si="1">SUM(E24:E31)</f>
        <v>0</v>
      </c>
      <c r="F32" s="128">
        <f t="shared" si="1"/>
        <v>0</v>
      </c>
      <c r="G32" s="128">
        <f t="shared" si="1"/>
        <v>50000</v>
      </c>
      <c r="H32" s="137"/>
      <c r="J32" s="137"/>
    </row>
    <row r="33" spans="2:10" x14ac:dyDescent="0.35">
      <c r="C33" s="19" t="s">
        <v>117</v>
      </c>
      <c r="D33" s="128">
        <f>D13-D32</f>
        <v>134557.67000000001</v>
      </c>
      <c r="E33" s="128"/>
      <c r="F33" s="128"/>
      <c r="G33" s="128">
        <f>D13-G32</f>
        <v>134557.67000000001</v>
      </c>
      <c r="H33" s="137"/>
      <c r="J33" s="137"/>
    </row>
    <row r="34" spans="2:10" x14ac:dyDescent="0.3">
      <c r="C34" s="200"/>
      <c r="D34" s="201"/>
      <c r="H34" s="137"/>
      <c r="J34" s="137"/>
    </row>
    <row r="35" spans="2:10" x14ac:dyDescent="0.3">
      <c r="C35" s="200"/>
      <c r="D35" s="201"/>
      <c r="H35" s="137"/>
      <c r="J35" s="137"/>
    </row>
    <row r="36" spans="2:10" x14ac:dyDescent="0.35">
      <c r="B36" s="338" t="s">
        <v>121</v>
      </c>
      <c r="C36" s="20" t="s">
        <v>64</v>
      </c>
      <c r="D36" s="20" t="s">
        <v>13</v>
      </c>
      <c r="H36" s="137"/>
      <c r="J36" s="137"/>
    </row>
    <row r="37" spans="2:10" x14ac:dyDescent="0.35">
      <c r="B37" s="338"/>
      <c r="C37" s="206" t="s">
        <v>80</v>
      </c>
      <c r="D37" s="116">
        <f>SETUP!C5*SETUP!C6</f>
        <v>66085.2</v>
      </c>
      <c r="H37" s="137"/>
      <c r="J37" s="137"/>
    </row>
    <row r="38" spans="2:10" x14ac:dyDescent="0.3">
      <c r="C38" s="205" t="str">
        <f>SETUP!C13&amp;" Payments"</f>
        <v>2026-27 Payments</v>
      </c>
      <c r="D38" s="116">
        <f>SUMIF(Payments!N:N,"Y",Payments!J:J)</f>
        <v>0</v>
      </c>
      <c r="H38" s="137"/>
      <c r="J38" s="137"/>
    </row>
    <row r="39" spans="2:10" x14ac:dyDescent="0.35">
      <c r="H39" s="137"/>
      <c r="J39" s="137"/>
    </row>
    <row r="40" spans="2:10" x14ac:dyDescent="0.35">
      <c r="H40" s="137"/>
      <c r="J40" s="137"/>
    </row>
    <row r="41" spans="2:10" x14ac:dyDescent="0.35">
      <c r="H41" s="137"/>
      <c r="J41" s="137"/>
    </row>
    <row r="42" spans="2:10" x14ac:dyDescent="0.35">
      <c r="H42" s="137"/>
      <c r="J42" s="137"/>
    </row>
    <row r="43" spans="2:10" x14ac:dyDescent="0.35">
      <c r="H43" s="137"/>
      <c r="J43" s="137"/>
    </row>
    <row r="44" spans="2:10" x14ac:dyDescent="0.35">
      <c r="H44" s="137"/>
      <c r="J44" s="137"/>
    </row>
    <row r="45" spans="2:10" x14ac:dyDescent="0.35">
      <c r="H45" s="137"/>
      <c r="J45" s="137"/>
    </row>
    <row r="46" spans="2:10" x14ac:dyDescent="0.35">
      <c r="H46" s="137"/>
      <c r="J46" s="137"/>
    </row>
    <row r="47" spans="2:10" x14ac:dyDescent="0.35">
      <c r="H47" s="137"/>
      <c r="J47" s="137"/>
    </row>
    <row r="48" spans="2:10" x14ac:dyDescent="0.35">
      <c r="H48" s="137"/>
      <c r="J48" s="137"/>
    </row>
    <row r="49" s="137" customFormat="1" x14ac:dyDescent="0.35"/>
    <row r="50" s="137" customFormat="1" x14ac:dyDescent="0.35"/>
    <row r="51" s="137" customFormat="1" x14ac:dyDescent="0.35"/>
    <row r="52" s="137" customFormat="1" x14ac:dyDescent="0.35"/>
    <row r="53" s="137" customFormat="1" x14ac:dyDescent="0.35"/>
    <row r="54" s="137" customFormat="1" x14ac:dyDescent="0.35"/>
    <row r="55" s="137" customFormat="1" x14ac:dyDescent="0.35"/>
    <row r="56" s="137" customFormat="1" x14ac:dyDescent="0.35"/>
    <row r="57" s="137" customFormat="1" x14ac:dyDescent="0.35"/>
    <row r="58" s="137" customFormat="1" x14ac:dyDescent="0.35"/>
    <row r="59" s="137" customFormat="1" x14ac:dyDescent="0.35"/>
    <row r="60" s="137" customFormat="1" x14ac:dyDescent="0.35"/>
    <row r="61" s="137" customFormat="1" x14ac:dyDescent="0.35"/>
    <row r="62" s="137" customFormat="1" x14ac:dyDescent="0.35"/>
    <row r="63" s="137" customFormat="1" x14ac:dyDescent="0.35"/>
    <row r="64" s="137" customFormat="1" x14ac:dyDescent="0.35"/>
    <row r="65" s="137" customFormat="1" x14ac:dyDescent="0.35"/>
    <row r="66" s="137" customFormat="1" x14ac:dyDescent="0.35"/>
    <row r="67" s="137" customFormat="1" x14ac:dyDescent="0.35"/>
    <row r="68" s="137" customFormat="1" x14ac:dyDescent="0.35"/>
    <row r="69" s="137" customFormat="1" x14ac:dyDescent="0.35"/>
    <row r="70" s="137" customFormat="1" x14ac:dyDescent="0.35"/>
    <row r="71" s="137" customFormat="1" x14ac:dyDescent="0.35"/>
    <row r="72" s="137" customFormat="1" x14ac:dyDescent="0.35"/>
  </sheetData>
  <mergeCells count="4">
    <mergeCell ref="B36:B37"/>
    <mergeCell ref="B4:B5"/>
    <mergeCell ref="B23:B24"/>
    <mergeCell ref="B16:B17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2:AB67"/>
  <sheetViews>
    <sheetView showGridLines="0" workbookViewId="0">
      <pane ySplit="3" topLeftCell="A4" activePane="bottomLeft" state="frozen"/>
      <selection pane="bottomLeft" activeCell="H31" sqref="H31"/>
    </sheetView>
  </sheetViews>
  <sheetFormatPr defaultColWidth="8.81640625" defaultRowHeight="13" x14ac:dyDescent="0.3"/>
  <cols>
    <col min="1" max="1" width="2.1796875" style="11" customWidth="1"/>
    <col min="2" max="2" width="13.1796875" style="11" bestFit="1" customWidth="1"/>
    <col min="3" max="3" width="9.453125" style="11" bestFit="1" customWidth="1"/>
    <col min="4" max="4" width="2.1796875" style="11" customWidth="1"/>
    <col min="5" max="5" width="14" style="11" bestFit="1" customWidth="1"/>
    <col min="6" max="6" width="12.1796875" style="11" bestFit="1" customWidth="1"/>
    <col min="7" max="7" width="2.1796875" style="11" customWidth="1"/>
    <col min="8" max="8" width="34.54296875" style="11" bestFit="1" customWidth="1"/>
    <col min="9" max="11" width="9.1796875" style="11" bestFit="1" customWidth="1"/>
    <col min="12" max="12" width="8.54296875" style="11" bestFit="1" customWidth="1"/>
    <col min="13" max="13" width="9.81640625" style="11" bestFit="1" customWidth="1"/>
    <col min="14" max="14" width="8.453125" style="11" customWidth="1"/>
    <col min="15" max="16" width="9.1796875" style="11" bestFit="1" customWidth="1"/>
    <col min="17" max="17" width="9.81640625" style="11" bestFit="1" customWidth="1"/>
    <col min="18" max="18" width="2.1796875" style="11" customWidth="1"/>
    <col min="19" max="19" width="12.54296875" style="11" bestFit="1" customWidth="1"/>
    <col min="20" max="20" width="10.1796875" style="11" customWidth="1"/>
    <col min="21" max="22" width="10.1796875" style="11" bestFit="1" customWidth="1"/>
    <col min="23" max="23" width="9.453125" style="11" bestFit="1" customWidth="1"/>
    <col min="24" max="24" width="8.1796875" style="11" bestFit="1" customWidth="1"/>
    <col min="25" max="25" width="9.453125" style="11" bestFit="1" customWidth="1"/>
    <col min="26" max="26" width="9.90625" style="11" bestFit="1" customWidth="1"/>
    <col min="27" max="27" width="9.1796875" style="11" bestFit="1" customWidth="1"/>
    <col min="28" max="28" width="10.81640625" style="11" bestFit="1" customWidth="1"/>
    <col min="29" max="16384" width="8.81640625" style="11"/>
  </cols>
  <sheetData>
    <row r="2" spans="1:28" x14ac:dyDescent="0.3">
      <c r="A2" s="103"/>
      <c r="B2" s="340" t="s">
        <v>68</v>
      </c>
      <c r="C2" s="342"/>
      <c r="D2" s="103"/>
      <c r="E2" s="340" t="s">
        <v>0</v>
      </c>
      <c r="F2" s="104" t="s">
        <v>3</v>
      </c>
      <c r="G2" s="103"/>
      <c r="H2" s="335" t="s">
        <v>17</v>
      </c>
      <c r="I2" s="332" t="str">
        <f>C12</f>
        <v>2025-26</v>
      </c>
      <c r="J2" s="332"/>
      <c r="K2" s="344" t="str">
        <f>C13</f>
        <v>2026-27</v>
      </c>
      <c r="L2" s="344"/>
      <c r="M2" s="344"/>
      <c r="N2" s="344"/>
      <c r="O2" s="344"/>
      <c r="P2" s="344" t="str">
        <f>C14</f>
        <v>2027-28</v>
      </c>
      <c r="Q2" s="344"/>
      <c r="R2" s="103"/>
      <c r="S2" s="335" t="s">
        <v>18</v>
      </c>
      <c r="T2" s="332" t="str">
        <f>C12</f>
        <v>2025-26</v>
      </c>
      <c r="U2" s="332"/>
      <c r="V2" s="344" t="str">
        <f>C13</f>
        <v>2026-27</v>
      </c>
      <c r="W2" s="344"/>
      <c r="X2" s="344"/>
      <c r="Y2" s="344"/>
      <c r="Z2" s="344"/>
      <c r="AA2" s="332" t="str">
        <f>C14</f>
        <v>2027-28</v>
      </c>
      <c r="AB2" s="332"/>
    </row>
    <row r="3" spans="1:28" x14ac:dyDescent="0.3">
      <c r="B3" s="341"/>
      <c r="C3" s="343"/>
      <c r="E3" s="341"/>
      <c r="F3" s="106" t="s">
        <v>70</v>
      </c>
      <c r="H3" s="335"/>
      <c r="I3" s="105" t="s">
        <v>21</v>
      </c>
      <c r="J3" s="105" t="s">
        <v>81</v>
      </c>
      <c r="K3" s="105" t="s">
        <v>21</v>
      </c>
      <c r="L3" s="105" t="s">
        <v>81</v>
      </c>
      <c r="M3" s="105" t="s">
        <v>19</v>
      </c>
      <c r="N3" s="105" t="s">
        <v>20</v>
      </c>
      <c r="O3" s="105" t="s">
        <v>100</v>
      </c>
      <c r="P3" s="105" t="s">
        <v>21</v>
      </c>
      <c r="Q3" s="107" t="s">
        <v>101</v>
      </c>
      <c r="S3" s="335"/>
      <c r="T3" s="105" t="s">
        <v>21</v>
      </c>
      <c r="U3" s="105" t="s">
        <v>81</v>
      </c>
      <c r="V3" s="105" t="s">
        <v>21</v>
      </c>
      <c r="W3" s="105" t="s">
        <v>81</v>
      </c>
      <c r="X3" s="105" t="s">
        <v>22</v>
      </c>
      <c r="Y3" s="105" t="s">
        <v>20</v>
      </c>
      <c r="Z3" s="105" t="s">
        <v>100</v>
      </c>
      <c r="AA3" s="105" t="s">
        <v>21</v>
      </c>
      <c r="AB3" s="107" t="s">
        <v>101</v>
      </c>
    </row>
    <row r="4" spans="1:28" x14ac:dyDescent="0.3">
      <c r="B4" s="132" t="s">
        <v>69</v>
      </c>
      <c r="C4" s="108" t="s">
        <v>153</v>
      </c>
      <c r="E4" s="109" t="s">
        <v>242</v>
      </c>
      <c r="F4" s="109">
        <v>2457193048</v>
      </c>
      <c r="H4" s="131" t="s">
        <v>163</v>
      </c>
      <c r="I4" s="110"/>
      <c r="J4" s="111"/>
      <c r="K4" s="112"/>
      <c r="L4" s="113"/>
      <c r="M4" s="113"/>
      <c r="N4" s="113"/>
      <c r="O4" s="113"/>
      <c r="P4" s="112"/>
      <c r="Q4" s="114"/>
      <c r="S4" s="55" t="s">
        <v>157</v>
      </c>
      <c r="T4" s="116">
        <v>1105</v>
      </c>
      <c r="U4" s="117">
        <v>1230</v>
      </c>
      <c r="V4" s="117">
        <v>1235</v>
      </c>
      <c r="W4" s="118">
        <f>VLOOKUP(S4,Income!$B:$O,14,FALSE)</f>
        <v>195</v>
      </c>
      <c r="X4" s="118">
        <f>VLOOKUP(S4,Income!$B:$P,15,FALSE)</f>
        <v>0</v>
      </c>
      <c r="Y4" s="119">
        <f t="shared" ref="Y4:Y12" si="0">SUM(W4:X4)</f>
        <v>195</v>
      </c>
      <c r="Z4" s="118">
        <f t="shared" ref="Z4:Z12" si="1">Y4-V4</f>
        <v>-1040</v>
      </c>
      <c r="AA4" s="117">
        <v>1235</v>
      </c>
      <c r="AB4" s="116">
        <f t="shared" ref="AB4:AB12" si="2">AA4-V4</f>
        <v>0</v>
      </c>
    </row>
    <row r="5" spans="1:28" x14ac:dyDescent="0.3">
      <c r="B5" s="132" t="s">
        <v>66</v>
      </c>
      <c r="C5" s="108">
        <v>5697</v>
      </c>
      <c r="E5" s="109" t="s">
        <v>240</v>
      </c>
      <c r="F5" s="49">
        <v>444085847</v>
      </c>
      <c r="H5" s="115" t="s">
        <v>164</v>
      </c>
      <c r="I5" s="120">
        <v>28000</v>
      </c>
      <c r="J5" s="117">
        <v>28269.700000000004</v>
      </c>
      <c r="K5" s="120">
        <v>33000</v>
      </c>
      <c r="L5" s="119">
        <f>VLOOKUP(H5,Expenditure!B:O,14,FALSE)</f>
        <v>4988.1000000000004</v>
      </c>
      <c r="M5" s="119">
        <f>VLOOKUP(H5,Expenditure!$B:$P,15,FALSE)</f>
        <v>0</v>
      </c>
      <c r="N5" s="119">
        <f t="shared" ref="N5:N29" si="3">SUM(L5:M5)</f>
        <v>4988.1000000000004</v>
      </c>
      <c r="O5" s="119">
        <f t="shared" ref="O5:O29" si="4">K5-N5</f>
        <v>28011.9</v>
      </c>
      <c r="P5" s="120">
        <v>33000</v>
      </c>
      <c r="Q5" s="116">
        <f t="shared" ref="Q5:Q29" si="5">P5-K5</f>
        <v>0</v>
      </c>
      <c r="S5" s="55" t="s">
        <v>162</v>
      </c>
      <c r="T5" s="116">
        <v>30000</v>
      </c>
      <c r="U5" s="117">
        <v>27889.5</v>
      </c>
      <c r="V5" s="117">
        <v>30000</v>
      </c>
      <c r="W5" s="118">
        <f>VLOOKUP(S5,Income!$B:$O,14,FALSE)</f>
        <v>3971</v>
      </c>
      <c r="X5" s="118">
        <f>VLOOKUP(S5,Income!$B:$P,15,FALSE)</f>
        <v>0</v>
      </c>
      <c r="Y5" s="119">
        <f t="shared" si="0"/>
        <v>3971</v>
      </c>
      <c r="Z5" s="118">
        <f t="shared" si="1"/>
        <v>-26029</v>
      </c>
      <c r="AA5" s="117">
        <v>30000</v>
      </c>
      <c r="AB5" s="116">
        <f t="shared" si="2"/>
        <v>0</v>
      </c>
    </row>
    <row r="6" spans="1:28" x14ac:dyDescent="0.3">
      <c r="B6" s="132" t="s">
        <v>122</v>
      </c>
      <c r="C6" s="121">
        <v>11.6</v>
      </c>
      <c r="E6" s="46" t="s">
        <v>241</v>
      </c>
      <c r="F6" s="49">
        <v>930929315</v>
      </c>
      <c r="H6" s="115" t="s">
        <v>247</v>
      </c>
      <c r="I6" s="120">
        <v>24000</v>
      </c>
      <c r="J6" s="117">
        <v>18739.98</v>
      </c>
      <c r="K6" s="120">
        <v>16000</v>
      </c>
      <c r="L6" s="119">
        <f>VLOOKUP(H6,Expenditure!B:O,14,FALSE)</f>
        <v>2496.52</v>
      </c>
      <c r="M6" s="119">
        <f>VLOOKUP(H6,Expenditure!$B:$P,15,FALSE)</f>
        <v>0</v>
      </c>
      <c r="N6" s="119">
        <f t="shared" si="3"/>
        <v>2496.52</v>
      </c>
      <c r="O6" s="119">
        <f t="shared" si="4"/>
        <v>13503.48</v>
      </c>
      <c r="P6" s="120">
        <v>16000</v>
      </c>
      <c r="Q6" s="116">
        <f t="shared" si="5"/>
        <v>0</v>
      </c>
      <c r="S6" s="55" t="s">
        <v>156</v>
      </c>
      <c r="T6" s="116">
        <v>3000</v>
      </c>
      <c r="U6" s="117">
        <v>0</v>
      </c>
      <c r="V6" s="117">
        <v>1000</v>
      </c>
      <c r="W6" s="118">
        <f>VLOOKUP(S6,Income!$B:$O,14,FALSE)</f>
        <v>0</v>
      </c>
      <c r="X6" s="118">
        <f>VLOOKUP(S6,Income!$B:$P,15,FALSE)</f>
        <v>0</v>
      </c>
      <c r="Y6" s="119">
        <f t="shared" si="0"/>
        <v>0</v>
      </c>
      <c r="Z6" s="118">
        <f t="shared" si="1"/>
        <v>-1000</v>
      </c>
      <c r="AA6" s="117">
        <v>1000</v>
      </c>
      <c r="AB6" s="116">
        <f t="shared" si="2"/>
        <v>0</v>
      </c>
    </row>
    <row r="7" spans="1:28" x14ac:dyDescent="0.3">
      <c r="B7" s="122"/>
      <c r="C7" s="122"/>
      <c r="E7" s="46" t="s">
        <v>243</v>
      </c>
      <c r="F7" s="49">
        <v>684966762</v>
      </c>
      <c r="H7" s="115" t="s">
        <v>189</v>
      </c>
      <c r="I7" s="120">
        <v>7200</v>
      </c>
      <c r="J7" s="117">
        <v>7303.2400000000007</v>
      </c>
      <c r="K7" s="120">
        <v>7400</v>
      </c>
      <c r="L7" s="119">
        <f>VLOOKUP(H7,Expenditure!B:O,14,FALSE)</f>
        <v>1258.8400000000001</v>
      </c>
      <c r="M7" s="119">
        <f>VLOOKUP(H7,Expenditure!$B:$P,15,FALSE)</f>
        <v>0</v>
      </c>
      <c r="N7" s="119">
        <f t="shared" si="3"/>
        <v>1258.8400000000001</v>
      </c>
      <c r="O7" s="119">
        <f t="shared" si="4"/>
        <v>6141.16</v>
      </c>
      <c r="P7" s="120">
        <v>7400</v>
      </c>
      <c r="Q7" s="116">
        <f t="shared" si="5"/>
        <v>0</v>
      </c>
      <c r="S7" s="55" t="s">
        <v>160</v>
      </c>
      <c r="T7" s="116">
        <v>1300</v>
      </c>
      <c r="U7" s="117">
        <v>918.66000000000008</v>
      </c>
      <c r="V7" s="117">
        <v>1300</v>
      </c>
      <c r="W7" s="118">
        <f>VLOOKUP(S7,Income!$B:$O,14,FALSE)</f>
        <v>128.20999999999998</v>
      </c>
      <c r="X7" s="118">
        <f>VLOOKUP(S7,Income!$B:$P,15,FALSE)</f>
        <v>0</v>
      </c>
      <c r="Y7" s="119">
        <f t="shared" si="0"/>
        <v>128.20999999999998</v>
      </c>
      <c r="Z7" s="118">
        <f t="shared" si="1"/>
        <v>-1171.79</v>
      </c>
      <c r="AA7" s="117">
        <v>1300</v>
      </c>
      <c r="AB7" s="116">
        <f t="shared" si="2"/>
        <v>0</v>
      </c>
    </row>
    <row r="8" spans="1:28" ht="12" customHeight="1" x14ac:dyDescent="0.3">
      <c r="B8" s="340" t="s">
        <v>8</v>
      </c>
      <c r="C8" s="342"/>
      <c r="E8" s="46" t="s">
        <v>244</v>
      </c>
      <c r="F8" s="49">
        <v>832091156</v>
      </c>
      <c r="H8" s="115" t="s">
        <v>190</v>
      </c>
      <c r="I8" s="120">
        <v>6200</v>
      </c>
      <c r="J8" s="117">
        <v>6297.1999999999989</v>
      </c>
      <c r="K8" s="120">
        <v>6400</v>
      </c>
      <c r="L8" s="119">
        <f>VLOOKUP(H8,Expenditure!B:O,14,FALSE)</f>
        <v>1083.54</v>
      </c>
      <c r="M8" s="119">
        <f>VLOOKUP(H8,Expenditure!$B:$P,15,FALSE)</f>
        <v>0</v>
      </c>
      <c r="N8" s="119">
        <f t="shared" si="3"/>
        <v>1083.54</v>
      </c>
      <c r="O8" s="119">
        <f t="shared" si="4"/>
        <v>5316.46</v>
      </c>
      <c r="P8" s="120">
        <v>6400</v>
      </c>
      <c r="Q8" s="116">
        <f t="shared" si="5"/>
        <v>0</v>
      </c>
      <c r="S8" s="55" t="s">
        <v>159</v>
      </c>
      <c r="T8" s="116">
        <v>3000</v>
      </c>
      <c r="U8" s="117">
        <v>6854.92</v>
      </c>
      <c r="V8" s="117">
        <v>3000</v>
      </c>
      <c r="W8" s="118">
        <f>VLOOKUP(S8,Income!$B:$O,14,FALSE)</f>
        <v>0</v>
      </c>
      <c r="X8" s="118">
        <f>VLOOKUP(S8,Income!$B:$P,15,FALSE)</f>
        <v>0</v>
      </c>
      <c r="Y8" s="119">
        <f t="shared" si="0"/>
        <v>0</v>
      </c>
      <c r="Z8" s="118">
        <f t="shared" si="1"/>
        <v>-3000</v>
      </c>
      <c r="AA8" s="117">
        <v>3000</v>
      </c>
      <c r="AB8" s="116">
        <f t="shared" si="2"/>
        <v>0</v>
      </c>
    </row>
    <row r="9" spans="1:28" ht="12" customHeight="1" x14ac:dyDescent="0.3">
      <c r="B9" s="341"/>
      <c r="C9" s="343"/>
      <c r="E9" s="46" t="s">
        <v>245</v>
      </c>
      <c r="F9" s="49">
        <v>226659933</v>
      </c>
      <c r="H9" s="115" t="s">
        <v>165</v>
      </c>
      <c r="I9" s="120">
        <v>18500</v>
      </c>
      <c r="J9" s="117">
        <v>17133.039999999997</v>
      </c>
      <c r="K9" s="120">
        <v>18500</v>
      </c>
      <c r="L9" s="119">
        <f>VLOOKUP(H9,Expenditure!B:O,14,FALSE)</f>
        <v>2512.56</v>
      </c>
      <c r="M9" s="119">
        <f>VLOOKUP(H9,Expenditure!$B:$P,15,FALSE)</f>
        <v>0</v>
      </c>
      <c r="N9" s="119">
        <f t="shared" si="3"/>
        <v>2512.56</v>
      </c>
      <c r="O9" s="119">
        <f t="shared" si="4"/>
        <v>15987.44</v>
      </c>
      <c r="P9" s="120">
        <v>18500</v>
      </c>
      <c r="Q9" s="116">
        <f t="shared" si="5"/>
        <v>0</v>
      </c>
      <c r="S9" s="55" t="s">
        <v>10</v>
      </c>
      <c r="T9" s="116">
        <v>123750</v>
      </c>
      <c r="U9" s="117">
        <v>123750</v>
      </c>
      <c r="V9" s="117">
        <v>0</v>
      </c>
      <c r="W9" s="118">
        <f>VLOOKUP(S9,Income!$B:$O,14,FALSE)</f>
        <v>155713</v>
      </c>
      <c r="X9" s="118">
        <f>VLOOKUP(S9,Income!$B:$P,15,FALSE)</f>
        <v>0</v>
      </c>
      <c r="Y9" s="119">
        <f t="shared" si="0"/>
        <v>155713</v>
      </c>
      <c r="Z9" s="118">
        <f t="shared" si="1"/>
        <v>155713</v>
      </c>
      <c r="AA9" s="117">
        <v>0</v>
      </c>
      <c r="AB9" s="116">
        <f t="shared" si="2"/>
        <v>0</v>
      </c>
    </row>
    <row r="10" spans="1:28" x14ac:dyDescent="0.3">
      <c r="B10" s="132" t="s">
        <v>9</v>
      </c>
      <c r="C10" s="123">
        <v>46113</v>
      </c>
      <c r="E10" s="55" t="s">
        <v>248</v>
      </c>
      <c r="F10" s="253">
        <v>162705180</v>
      </c>
      <c r="H10" s="115" t="s">
        <v>166</v>
      </c>
      <c r="I10" s="120">
        <v>17500</v>
      </c>
      <c r="J10" s="117">
        <v>17237.890000000003</v>
      </c>
      <c r="K10" s="120">
        <v>15000</v>
      </c>
      <c r="L10" s="119">
        <f>VLOOKUP(H10,Expenditure!B:O,14,FALSE)</f>
        <v>2697.6400000000003</v>
      </c>
      <c r="M10" s="119">
        <f>VLOOKUP(H10,Expenditure!$B:$P,15,FALSE)</f>
        <v>0</v>
      </c>
      <c r="N10" s="119">
        <f t="shared" si="3"/>
        <v>2697.6400000000003</v>
      </c>
      <c r="O10" s="119">
        <f t="shared" si="4"/>
        <v>12302.36</v>
      </c>
      <c r="P10" s="120">
        <v>15000</v>
      </c>
      <c r="Q10" s="116">
        <f t="shared" si="5"/>
        <v>0</v>
      </c>
      <c r="S10" s="55" t="s">
        <v>158</v>
      </c>
      <c r="T10" s="116">
        <v>0</v>
      </c>
      <c r="U10" s="117">
        <v>0</v>
      </c>
      <c r="V10" s="117">
        <v>0</v>
      </c>
      <c r="W10" s="118">
        <f>VLOOKUP(S10,Income!$B:$O,14,FALSE)</f>
        <v>0</v>
      </c>
      <c r="X10" s="118">
        <f>VLOOKUP(S10,Income!$B:$P,15,FALSE)</f>
        <v>0</v>
      </c>
      <c r="Y10" s="119">
        <f t="shared" si="0"/>
        <v>0</v>
      </c>
      <c r="Z10" s="118">
        <f t="shared" si="1"/>
        <v>0</v>
      </c>
      <c r="AA10" s="117">
        <v>0</v>
      </c>
      <c r="AB10" s="116">
        <f t="shared" si="2"/>
        <v>0</v>
      </c>
    </row>
    <row r="11" spans="1:28" x14ac:dyDescent="0.3">
      <c r="B11" s="132" t="s">
        <v>11</v>
      </c>
      <c r="C11" s="123">
        <v>46477</v>
      </c>
      <c r="E11" s="55" t="s">
        <v>249</v>
      </c>
      <c r="F11" s="253">
        <v>548248028</v>
      </c>
      <c r="H11" s="115" t="s">
        <v>167</v>
      </c>
      <c r="I11" s="120">
        <v>360</v>
      </c>
      <c r="J11" s="117">
        <v>552</v>
      </c>
      <c r="K11" s="120">
        <v>366</v>
      </c>
      <c r="L11" s="119">
        <f>VLOOKUP(H11,Expenditure!B:O,14,FALSE)</f>
        <v>0</v>
      </c>
      <c r="M11" s="119">
        <f>VLOOKUP(H11,Expenditure!$B:$P,15,FALSE)</f>
        <v>0</v>
      </c>
      <c r="N11" s="119">
        <f t="shared" si="3"/>
        <v>0</v>
      </c>
      <c r="O11" s="119">
        <f t="shared" si="4"/>
        <v>366</v>
      </c>
      <c r="P11" s="120">
        <v>366</v>
      </c>
      <c r="Q11" s="116">
        <f t="shared" si="5"/>
        <v>0</v>
      </c>
      <c r="S11" s="55" t="s">
        <v>161</v>
      </c>
      <c r="T11" s="116">
        <v>8509.84</v>
      </c>
      <c r="U11" s="117">
        <v>8509.84</v>
      </c>
      <c r="V11" s="117">
        <v>8000</v>
      </c>
      <c r="W11" s="118">
        <f>VLOOKUP(S11,Income!$B:$O,14,FALSE)</f>
        <v>10735.78</v>
      </c>
      <c r="X11" s="118">
        <f>VLOOKUP(S11,Income!$B:$P,15,FALSE)</f>
        <v>0</v>
      </c>
      <c r="Y11" s="119">
        <f t="shared" si="0"/>
        <v>10735.78</v>
      </c>
      <c r="Z11" s="118">
        <f t="shared" si="1"/>
        <v>2735.7800000000007</v>
      </c>
      <c r="AA11" s="117">
        <v>8000</v>
      </c>
      <c r="AB11" s="116">
        <f t="shared" si="2"/>
        <v>0</v>
      </c>
    </row>
    <row r="12" spans="1:28" x14ac:dyDescent="0.3">
      <c r="B12" s="132" t="s">
        <v>87</v>
      </c>
      <c r="C12" s="124" t="str">
        <f>YEAR(C10)-1&amp;"-"&amp;MID(C13,3,2)</f>
        <v>2025-26</v>
      </c>
      <c r="E12" s="109" t="s">
        <v>192</v>
      </c>
      <c r="F12" s="109" t="s">
        <v>271</v>
      </c>
      <c r="H12" s="115" t="s">
        <v>168</v>
      </c>
      <c r="I12" s="120">
        <v>500</v>
      </c>
      <c r="J12" s="117">
        <v>96.16</v>
      </c>
      <c r="K12" s="120">
        <v>500</v>
      </c>
      <c r="L12" s="119">
        <f>VLOOKUP(H12,Expenditure!B:O,14,FALSE)</f>
        <v>25</v>
      </c>
      <c r="M12" s="119">
        <f>VLOOKUP(H12,Expenditure!$B:$P,15,FALSE)</f>
        <v>0</v>
      </c>
      <c r="N12" s="119">
        <f t="shared" si="3"/>
        <v>25</v>
      </c>
      <c r="O12" s="119">
        <f t="shared" si="4"/>
        <v>475</v>
      </c>
      <c r="P12" s="120">
        <v>500</v>
      </c>
      <c r="Q12" s="116">
        <f t="shared" si="5"/>
        <v>0</v>
      </c>
      <c r="S12" s="55" t="s">
        <v>155</v>
      </c>
      <c r="T12" s="117">
        <v>0</v>
      </c>
      <c r="U12" s="117">
        <v>0</v>
      </c>
      <c r="V12" s="117">
        <v>0</v>
      </c>
      <c r="W12" s="118">
        <f>VLOOKUP(S12,Income!$B:$O,14,FALSE)</f>
        <v>0</v>
      </c>
      <c r="X12" s="118">
        <f>VLOOKUP(S12,Income!$B:$P,15,FALSE)</f>
        <v>0</v>
      </c>
      <c r="Y12" s="119">
        <f t="shared" si="0"/>
        <v>0</v>
      </c>
      <c r="Z12" s="118">
        <f t="shared" si="1"/>
        <v>0</v>
      </c>
      <c r="AA12" s="117">
        <v>0</v>
      </c>
      <c r="AB12" s="116">
        <f t="shared" si="2"/>
        <v>0</v>
      </c>
    </row>
    <row r="13" spans="1:28" x14ac:dyDescent="0.3">
      <c r="B13" s="132" t="s">
        <v>93</v>
      </c>
      <c r="C13" s="124" t="str">
        <f>YEAR(C10)&amp;"-"&amp;RIGHT(YEAR(C11),2)</f>
        <v>2026-27</v>
      </c>
      <c r="E13" s="109" t="s">
        <v>286</v>
      </c>
      <c r="F13" s="109">
        <v>430357324</v>
      </c>
      <c r="H13" s="115" t="s">
        <v>169</v>
      </c>
      <c r="I13" s="120">
        <v>500</v>
      </c>
      <c r="J13" s="117">
        <v>1992.66</v>
      </c>
      <c r="K13" s="120">
        <v>500</v>
      </c>
      <c r="L13" s="119">
        <f>VLOOKUP(H13,Expenditure!B:O,14,FALSE)</f>
        <v>159.9</v>
      </c>
      <c r="M13" s="119">
        <f>VLOOKUP(H13,Expenditure!$B:$P,15,FALSE)</f>
        <v>0</v>
      </c>
      <c r="N13" s="119">
        <f t="shared" si="3"/>
        <v>159.9</v>
      </c>
      <c r="O13" s="119">
        <f t="shared" si="4"/>
        <v>340.1</v>
      </c>
      <c r="P13" s="120">
        <v>500</v>
      </c>
      <c r="Q13" s="116">
        <f t="shared" si="5"/>
        <v>0</v>
      </c>
      <c r="S13" s="55" t="s">
        <v>155</v>
      </c>
      <c r="T13" s="117">
        <v>0</v>
      </c>
      <c r="U13" s="117">
        <v>0</v>
      </c>
      <c r="V13" s="117">
        <v>0</v>
      </c>
      <c r="W13" s="118">
        <f>VLOOKUP(S13,Income!$B:$O,14,FALSE)</f>
        <v>0</v>
      </c>
      <c r="X13" s="118">
        <f>VLOOKUP(S13,Income!$B:$P,15,FALSE)</f>
        <v>0</v>
      </c>
      <c r="Y13" s="119">
        <f t="shared" ref="Y13:Y16" si="6">SUM(W13:X13)</f>
        <v>0</v>
      </c>
      <c r="Z13" s="118">
        <f t="shared" ref="Z13:Z16" si="7">Y13-V13</f>
        <v>0</v>
      </c>
      <c r="AA13" s="117">
        <v>0</v>
      </c>
      <c r="AB13" s="116">
        <f t="shared" ref="AB13:AB16" si="8">AA13-V13</f>
        <v>0</v>
      </c>
    </row>
    <row r="14" spans="1:28" x14ac:dyDescent="0.3">
      <c r="B14" s="132" t="s">
        <v>88</v>
      </c>
      <c r="C14" s="124" t="str">
        <f>YEAR(C11)&amp;"-"&amp;RIGHT(YEAR(C11)+1,2)</f>
        <v>2027-28</v>
      </c>
      <c r="E14" s="109" t="s">
        <v>290</v>
      </c>
      <c r="F14" s="109">
        <v>252345030</v>
      </c>
      <c r="H14" s="115" t="s">
        <v>170</v>
      </c>
      <c r="I14" s="120">
        <v>4000</v>
      </c>
      <c r="J14" s="117">
        <v>4421.18</v>
      </c>
      <c r="K14" s="120">
        <v>4000</v>
      </c>
      <c r="L14" s="119">
        <f>VLOOKUP(H14,Expenditure!B:O,14,FALSE)</f>
        <v>518.81999999999994</v>
      </c>
      <c r="M14" s="119">
        <f>VLOOKUP(H14,Expenditure!$B:$P,15,FALSE)</f>
        <v>0</v>
      </c>
      <c r="N14" s="119">
        <f t="shared" si="3"/>
        <v>518.81999999999994</v>
      </c>
      <c r="O14" s="119">
        <f t="shared" si="4"/>
        <v>3481.1800000000003</v>
      </c>
      <c r="P14" s="120">
        <v>4000</v>
      </c>
      <c r="Q14" s="116">
        <f t="shared" si="5"/>
        <v>0</v>
      </c>
      <c r="S14" s="55" t="s">
        <v>155</v>
      </c>
      <c r="T14" s="117">
        <v>0</v>
      </c>
      <c r="U14" s="117">
        <v>0</v>
      </c>
      <c r="V14" s="117">
        <v>0</v>
      </c>
      <c r="W14" s="118">
        <f>VLOOKUP(S14,Income!$B:$O,14,FALSE)</f>
        <v>0</v>
      </c>
      <c r="X14" s="118">
        <f>VLOOKUP(S14,Income!$B:$P,15,FALSE)</f>
        <v>0</v>
      </c>
      <c r="Y14" s="119">
        <f t="shared" si="6"/>
        <v>0</v>
      </c>
      <c r="Z14" s="118">
        <f t="shared" si="7"/>
        <v>0</v>
      </c>
      <c r="AA14" s="117">
        <v>0</v>
      </c>
      <c r="AB14" s="116">
        <f t="shared" si="8"/>
        <v>0</v>
      </c>
    </row>
    <row r="15" spans="1:28" x14ac:dyDescent="0.3">
      <c r="B15" s="122"/>
      <c r="C15" s="122"/>
      <c r="E15" s="109" t="s">
        <v>319</v>
      </c>
      <c r="F15" s="109">
        <v>832091156</v>
      </c>
      <c r="H15" s="115" t="s">
        <v>191</v>
      </c>
      <c r="I15" s="120">
        <v>1000</v>
      </c>
      <c r="J15" s="117">
        <v>806.34</v>
      </c>
      <c r="K15" s="120">
        <v>700</v>
      </c>
      <c r="L15" s="119">
        <f>VLOOKUP(H15,Expenditure!B:O,14,FALSE)</f>
        <v>112.75</v>
      </c>
      <c r="M15" s="119">
        <f>VLOOKUP(H15,Expenditure!$B:$P,15,FALSE)</f>
        <v>0</v>
      </c>
      <c r="N15" s="119">
        <f t="shared" si="3"/>
        <v>112.75</v>
      </c>
      <c r="O15" s="119">
        <f t="shared" si="4"/>
        <v>587.25</v>
      </c>
      <c r="P15" s="120">
        <v>700</v>
      </c>
      <c r="Q15" s="116">
        <f t="shared" si="5"/>
        <v>0</v>
      </c>
      <c r="S15" s="55" t="s">
        <v>155</v>
      </c>
      <c r="T15" s="117">
        <v>0</v>
      </c>
      <c r="U15" s="117">
        <v>0</v>
      </c>
      <c r="V15" s="117">
        <v>0</v>
      </c>
      <c r="W15" s="118">
        <f>VLOOKUP(S15,Income!$B:$O,14,FALSE)</f>
        <v>0</v>
      </c>
      <c r="X15" s="118">
        <f>VLOOKUP(S15,Income!$B:$P,15,FALSE)</f>
        <v>0</v>
      </c>
      <c r="Y15" s="119">
        <f t="shared" si="6"/>
        <v>0</v>
      </c>
      <c r="Z15" s="118">
        <f t="shared" si="7"/>
        <v>0</v>
      </c>
      <c r="AA15" s="117">
        <v>0</v>
      </c>
      <c r="AB15" s="116">
        <f t="shared" si="8"/>
        <v>0</v>
      </c>
    </row>
    <row r="16" spans="1:28" x14ac:dyDescent="0.3">
      <c r="B16" s="335" t="s">
        <v>73</v>
      </c>
      <c r="C16" s="104" t="s">
        <v>72</v>
      </c>
      <c r="E16" s="109" t="s">
        <v>155</v>
      </c>
      <c r="F16" s="109"/>
      <c r="H16" s="115" t="s">
        <v>171</v>
      </c>
      <c r="I16" s="120">
        <v>0</v>
      </c>
      <c r="J16" s="117">
        <v>0</v>
      </c>
      <c r="K16" s="120">
        <v>0</v>
      </c>
      <c r="L16" s="119">
        <f>VLOOKUP(H16,Expenditure!B:O,14,FALSE)</f>
        <v>0</v>
      </c>
      <c r="M16" s="119">
        <f>VLOOKUP(H16,Expenditure!$B:$P,15,FALSE)</f>
        <v>0</v>
      </c>
      <c r="N16" s="119">
        <f t="shared" si="3"/>
        <v>0</v>
      </c>
      <c r="O16" s="119">
        <f t="shared" si="4"/>
        <v>0</v>
      </c>
      <c r="P16" s="120">
        <v>0</v>
      </c>
      <c r="Q16" s="116">
        <f t="shared" si="5"/>
        <v>0</v>
      </c>
      <c r="S16" s="55" t="s">
        <v>155</v>
      </c>
      <c r="T16" s="117">
        <v>0</v>
      </c>
      <c r="U16" s="117">
        <v>0</v>
      </c>
      <c r="V16" s="117">
        <v>0</v>
      </c>
      <c r="W16" s="118">
        <f>VLOOKUP(S16,Income!$B:$O,14,FALSE)</f>
        <v>0</v>
      </c>
      <c r="X16" s="118">
        <f>VLOOKUP(S16,Income!$B:$P,15,FALSE)</f>
        <v>0</v>
      </c>
      <c r="Y16" s="119">
        <f t="shared" si="6"/>
        <v>0</v>
      </c>
      <c r="Z16" s="118">
        <f t="shared" si="7"/>
        <v>0</v>
      </c>
      <c r="AA16" s="117">
        <v>0</v>
      </c>
      <c r="AB16" s="116">
        <f t="shared" si="8"/>
        <v>0</v>
      </c>
    </row>
    <row r="17" spans="2:28" x14ac:dyDescent="0.3">
      <c r="B17" s="335"/>
      <c r="C17" s="106" t="s">
        <v>30</v>
      </c>
      <c r="E17" s="109" t="s">
        <v>155</v>
      </c>
      <c r="F17" s="109"/>
      <c r="H17" s="115" t="s">
        <v>172</v>
      </c>
      <c r="I17" s="120">
        <v>2000</v>
      </c>
      <c r="J17" s="117">
        <v>1407.12</v>
      </c>
      <c r="K17" s="120">
        <v>1500</v>
      </c>
      <c r="L17" s="119">
        <f>VLOOKUP(H17,Expenditure!B:O,14,FALSE)</f>
        <v>0</v>
      </c>
      <c r="M17" s="119">
        <f>VLOOKUP(H17,Expenditure!$B:$P,15,FALSE)</f>
        <v>0</v>
      </c>
      <c r="N17" s="119">
        <f t="shared" si="3"/>
        <v>0</v>
      </c>
      <c r="O17" s="119">
        <f t="shared" si="4"/>
        <v>1500</v>
      </c>
      <c r="P17" s="120">
        <v>1500</v>
      </c>
      <c r="Q17" s="116">
        <f t="shared" si="5"/>
        <v>0</v>
      </c>
      <c r="S17" s="55" t="s">
        <v>155</v>
      </c>
      <c r="T17" s="117">
        <v>0</v>
      </c>
      <c r="U17" s="117">
        <v>0</v>
      </c>
      <c r="V17" s="117">
        <v>0</v>
      </c>
      <c r="W17" s="118">
        <f>VLOOKUP(S17,Income!$B:$O,14,FALSE)</f>
        <v>0</v>
      </c>
      <c r="X17" s="118">
        <f>VLOOKUP(S17,Income!$B:$P,15,FALSE)</f>
        <v>0</v>
      </c>
      <c r="Y17" s="119">
        <f t="shared" ref="Y17:Y18" si="9">SUM(W17:X17)</f>
        <v>0</v>
      </c>
      <c r="Z17" s="118">
        <f t="shared" ref="Z17:Z18" si="10">Y17-V17</f>
        <v>0</v>
      </c>
      <c r="AA17" s="117">
        <v>0</v>
      </c>
      <c r="AB17" s="116">
        <f t="shared" ref="AB17:AB18" si="11">AA17-V17</f>
        <v>0</v>
      </c>
    </row>
    <row r="18" spans="2:28" x14ac:dyDescent="0.3">
      <c r="B18" s="56" t="s">
        <v>94</v>
      </c>
      <c r="C18" s="144">
        <v>8939.82</v>
      </c>
      <c r="E18" s="109" t="s">
        <v>155</v>
      </c>
      <c r="F18" s="109"/>
      <c r="H18" s="115" t="s">
        <v>155</v>
      </c>
      <c r="I18" s="120">
        <v>0</v>
      </c>
      <c r="J18" s="117">
        <v>0</v>
      </c>
      <c r="K18" s="120">
        <v>0</v>
      </c>
      <c r="L18" s="119">
        <f>VLOOKUP(H18,Expenditure!B:O,14,FALSE)</f>
        <v>0</v>
      </c>
      <c r="M18" s="119">
        <f>VLOOKUP(H18,Expenditure!$B:$P,15,FALSE)</f>
        <v>0</v>
      </c>
      <c r="N18" s="119">
        <f t="shared" ref="N18:N19" si="12">SUM(L18:M18)</f>
        <v>0</v>
      </c>
      <c r="O18" s="119">
        <f t="shared" ref="O18:O19" si="13">K18-N18</f>
        <v>0</v>
      </c>
      <c r="P18" s="120">
        <v>0</v>
      </c>
      <c r="Q18" s="116">
        <f t="shared" ref="Q18:Q19" si="14">P18-K18</f>
        <v>0</v>
      </c>
      <c r="S18" s="55" t="s">
        <v>155</v>
      </c>
      <c r="T18" s="117">
        <v>0</v>
      </c>
      <c r="U18" s="117">
        <v>0</v>
      </c>
      <c r="V18" s="117">
        <v>0</v>
      </c>
      <c r="W18" s="118">
        <f>VLOOKUP(S18,Income!$B:$O,14,FALSE)</f>
        <v>0</v>
      </c>
      <c r="X18" s="118">
        <f>VLOOKUP(S18,Income!$B:$P,15,FALSE)</f>
        <v>0</v>
      </c>
      <c r="Y18" s="119">
        <f t="shared" si="9"/>
        <v>0</v>
      </c>
      <c r="Z18" s="118">
        <f t="shared" si="10"/>
        <v>0</v>
      </c>
      <c r="AA18" s="117">
        <v>0</v>
      </c>
      <c r="AB18" s="116">
        <f t="shared" si="11"/>
        <v>0</v>
      </c>
    </row>
    <row r="19" spans="2:28" x14ac:dyDescent="0.3">
      <c r="B19" s="56" t="s">
        <v>58</v>
      </c>
      <c r="C19" s="144">
        <v>38070.6</v>
      </c>
      <c r="E19" s="109" t="s">
        <v>155</v>
      </c>
      <c r="F19" s="109"/>
      <c r="H19" s="115" t="s">
        <v>155</v>
      </c>
      <c r="I19" s="120">
        <v>0</v>
      </c>
      <c r="J19" s="117">
        <v>0</v>
      </c>
      <c r="K19" s="120">
        <v>0</v>
      </c>
      <c r="L19" s="119">
        <f>VLOOKUP(H19,Expenditure!B:O,14,FALSE)</f>
        <v>0</v>
      </c>
      <c r="M19" s="119">
        <f>VLOOKUP(H19,Expenditure!$B:$P,15,FALSE)</f>
        <v>0</v>
      </c>
      <c r="N19" s="119">
        <f t="shared" si="12"/>
        <v>0</v>
      </c>
      <c r="O19" s="119">
        <f t="shared" si="13"/>
        <v>0</v>
      </c>
      <c r="P19" s="120">
        <v>0</v>
      </c>
      <c r="Q19" s="116">
        <f t="shared" si="14"/>
        <v>0</v>
      </c>
      <c r="S19" s="122"/>
      <c r="T19" s="122"/>
      <c r="U19" s="122"/>
      <c r="V19" s="122"/>
      <c r="W19" s="122"/>
      <c r="X19" s="122"/>
      <c r="Y19" s="122"/>
      <c r="Z19" s="122"/>
      <c r="AA19" s="122"/>
    </row>
    <row r="20" spans="2:28" x14ac:dyDescent="0.3">
      <c r="B20" s="56" t="s">
        <v>154</v>
      </c>
      <c r="C20" s="144">
        <v>6383.95</v>
      </c>
      <c r="E20" s="109" t="s">
        <v>155</v>
      </c>
      <c r="F20" s="109"/>
      <c r="H20" s="131" t="s">
        <v>173</v>
      </c>
      <c r="I20" s="112"/>
      <c r="J20" s="111"/>
      <c r="K20" s="112"/>
      <c r="L20" s="113"/>
      <c r="M20" s="113"/>
      <c r="N20" s="113"/>
      <c r="O20" s="113"/>
      <c r="P20" s="112"/>
      <c r="Q20" s="114"/>
      <c r="S20" s="122"/>
      <c r="T20" s="122"/>
      <c r="U20" s="122"/>
      <c r="V20" s="126"/>
      <c r="W20" s="122"/>
      <c r="X20" s="122"/>
      <c r="Y20" s="122"/>
      <c r="Z20" s="122"/>
      <c r="AA20" s="122"/>
    </row>
    <row r="21" spans="2:28" x14ac:dyDescent="0.3">
      <c r="B21" s="127" t="s">
        <v>20</v>
      </c>
      <c r="C21" s="128">
        <f>SUM(C18:C20)</f>
        <v>53394.369999999995</v>
      </c>
      <c r="E21" s="109" t="s">
        <v>155</v>
      </c>
      <c r="F21" s="109"/>
      <c r="H21" s="115" t="s">
        <v>113</v>
      </c>
      <c r="I21" s="120">
        <v>2500</v>
      </c>
      <c r="J21" s="117">
        <v>2677.37</v>
      </c>
      <c r="K21" s="120">
        <v>2500</v>
      </c>
      <c r="L21" s="119">
        <f>VLOOKUP(H21,Expenditure!B:O,14,FALSE)</f>
        <v>0</v>
      </c>
      <c r="M21" s="119">
        <f>VLOOKUP(H21,Expenditure!$B:$P,15,FALSE)</f>
        <v>0</v>
      </c>
      <c r="N21" s="119">
        <f t="shared" si="3"/>
        <v>0</v>
      </c>
      <c r="O21" s="119">
        <f t="shared" si="4"/>
        <v>2500</v>
      </c>
      <c r="P21" s="120">
        <v>2500</v>
      </c>
      <c r="Q21" s="116">
        <f t="shared" si="5"/>
        <v>0</v>
      </c>
      <c r="S21" s="122"/>
      <c r="T21" s="122"/>
      <c r="U21" s="122"/>
      <c r="V21" s="126"/>
      <c r="W21" s="122"/>
      <c r="X21" s="122"/>
      <c r="Y21" s="122"/>
      <c r="Z21" s="122"/>
      <c r="AA21" s="122"/>
    </row>
    <row r="22" spans="2:28" x14ac:dyDescent="0.3">
      <c r="B22" s="122"/>
      <c r="C22" s="122"/>
      <c r="E22" s="109" t="s">
        <v>155</v>
      </c>
      <c r="F22" s="109"/>
      <c r="H22" s="115" t="s">
        <v>115</v>
      </c>
      <c r="I22" s="120">
        <v>300</v>
      </c>
      <c r="J22" s="117">
        <v>465.20000000000005</v>
      </c>
      <c r="K22" s="120">
        <v>300</v>
      </c>
      <c r="L22" s="119">
        <f>VLOOKUP(H22,Expenditure!B:O,14,FALSE)</f>
        <v>105.75</v>
      </c>
      <c r="M22" s="119">
        <f>VLOOKUP(H22,Expenditure!$B:$P,15,FALSE)</f>
        <v>0</v>
      </c>
      <c r="N22" s="119">
        <f t="shared" si="3"/>
        <v>105.75</v>
      </c>
      <c r="O22" s="119">
        <f t="shared" si="4"/>
        <v>194.25</v>
      </c>
      <c r="P22" s="120">
        <v>300</v>
      </c>
      <c r="Q22" s="116">
        <f t="shared" si="5"/>
        <v>0</v>
      </c>
      <c r="S22" s="122"/>
      <c r="T22" s="122"/>
      <c r="U22" s="122"/>
      <c r="V22" s="126"/>
      <c r="W22" s="122"/>
      <c r="X22" s="122"/>
      <c r="Y22" s="122"/>
      <c r="Z22" s="122"/>
      <c r="AA22" s="122"/>
    </row>
    <row r="23" spans="2:28" x14ac:dyDescent="0.3">
      <c r="B23" s="122"/>
      <c r="C23" s="122"/>
      <c r="E23" s="109" t="s">
        <v>155</v>
      </c>
      <c r="F23" s="109"/>
      <c r="H23" s="115" t="s">
        <v>174</v>
      </c>
      <c r="I23" s="120">
        <v>1500</v>
      </c>
      <c r="J23" s="117">
        <v>717</v>
      </c>
      <c r="K23" s="120">
        <v>1500</v>
      </c>
      <c r="L23" s="119">
        <f>VLOOKUP(H23,Expenditure!B:O,14,FALSE)</f>
        <v>0</v>
      </c>
      <c r="M23" s="119">
        <f>VLOOKUP(H23,Expenditure!$B:$P,15,FALSE)</f>
        <v>0</v>
      </c>
      <c r="N23" s="119">
        <f t="shared" si="3"/>
        <v>0</v>
      </c>
      <c r="O23" s="119">
        <f t="shared" si="4"/>
        <v>1500</v>
      </c>
      <c r="P23" s="120">
        <v>1500</v>
      </c>
      <c r="Q23" s="116">
        <f t="shared" si="5"/>
        <v>0</v>
      </c>
      <c r="S23" s="122"/>
      <c r="T23" s="122"/>
      <c r="U23" s="122"/>
      <c r="V23" s="126"/>
      <c r="W23" s="122"/>
      <c r="X23" s="122"/>
      <c r="Y23" s="122"/>
      <c r="Z23" s="122"/>
      <c r="AA23" s="122"/>
    </row>
    <row r="24" spans="2:28" x14ac:dyDescent="0.3">
      <c r="B24" s="122"/>
      <c r="C24" s="122"/>
      <c r="E24" s="109" t="s">
        <v>155</v>
      </c>
      <c r="F24" s="109"/>
      <c r="H24" s="115" t="s">
        <v>175</v>
      </c>
      <c r="I24" s="120">
        <v>300</v>
      </c>
      <c r="J24" s="117">
        <v>300</v>
      </c>
      <c r="K24" s="120">
        <v>300</v>
      </c>
      <c r="L24" s="119">
        <f>VLOOKUP(H24,Expenditure!B:O,14,FALSE)</f>
        <v>0</v>
      </c>
      <c r="M24" s="119">
        <f>VLOOKUP(H24,Expenditure!$B:$P,15,FALSE)</f>
        <v>0</v>
      </c>
      <c r="N24" s="119">
        <f t="shared" si="3"/>
        <v>0</v>
      </c>
      <c r="O24" s="119">
        <f t="shared" si="4"/>
        <v>300</v>
      </c>
      <c r="P24" s="120">
        <v>300</v>
      </c>
      <c r="Q24" s="116">
        <f t="shared" si="5"/>
        <v>0</v>
      </c>
      <c r="S24" s="122"/>
      <c r="T24" s="122"/>
      <c r="U24" s="122"/>
      <c r="V24" s="126"/>
      <c r="W24" s="122"/>
      <c r="X24" s="122"/>
      <c r="Y24" s="122"/>
      <c r="Z24" s="122"/>
      <c r="AA24" s="122"/>
    </row>
    <row r="25" spans="2:28" x14ac:dyDescent="0.3">
      <c r="B25" s="122"/>
      <c r="C25" s="122"/>
      <c r="E25" s="109" t="s">
        <v>155</v>
      </c>
      <c r="F25" s="109"/>
      <c r="H25" s="115" t="s">
        <v>120</v>
      </c>
      <c r="I25" s="120">
        <v>0</v>
      </c>
      <c r="J25" s="117">
        <v>0</v>
      </c>
      <c r="K25" s="120">
        <v>11600</v>
      </c>
      <c r="L25" s="119">
        <f>VLOOKUP(H25,Expenditure!B:O,14,FALSE)</f>
        <v>6881.65</v>
      </c>
      <c r="M25" s="119">
        <f>VLOOKUP(H25,Expenditure!$B:$P,15,FALSE)</f>
        <v>0</v>
      </c>
      <c r="N25" s="119">
        <f t="shared" si="3"/>
        <v>6881.65</v>
      </c>
      <c r="O25" s="119">
        <f t="shared" si="4"/>
        <v>4718.3500000000004</v>
      </c>
      <c r="P25" s="120">
        <v>11600</v>
      </c>
      <c r="Q25" s="116">
        <f t="shared" si="5"/>
        <v>0</v>
      </c>
      <c r="S25" s="122"/>
      <c r="T25" s="122"/>
      <c r="U25" s="122"/>
      <c r="V25" s="126"/>
      <c r="W25" s="122"/>
      <c r="X25" s="122"/>
      <c r="Y25" s="122"/>
      <c r="Z25" s="122"/>
      <c r="AA25" s="122"/>
    </row>
    <row r="26" spans="2:28" x14ac:dyDescent="0.3">
      <c r="B26" s="122"/>
      <c r="C26" s="122"/>
      <c r="E26" s="109" t="s">
        <v>155</v>
      </c>
      <c r="F26" s="109"/>
      <c r="H26" s="115" t="s">
        <v>155</v>
      </c>
      <c r="I26" s="120">
        <v>0</v>
      </c>
      <c r="J26" s="117">
        <v>0</v>
      </c>
      <c r="K26" s="120">
        <v>0</v>
      </c>
      <c r="L26" s="119">
        <f>VLOOKUP(H26,Expenditure!B:O,14,FALSE)</f>
        <v>0</v>
      </c>
      <c r="M26" s="119">
        <f>VLOOKUP(H26,Expenditure!$B:$P,15,FALSE)</f>
        <v>0</v>
      </c>
      <c r="N26" s="119">
        <f t="shared" ref="N26:N27" si="15">SUM(L26:M26)</f>
        <v>0</v>
      </c>
      <c r="O26" s="119">
        <f t="shared" ref="O26:O27" si="16">K26-N26</f>
        <v>0</v>
      </c>
      <c r="P26" s="120">
        <v>0</v>
      </c>
      <c r="Q26" s="116">
        <f t="shared" ref="Q26:Q27" si="17">P26-K26</f>
        <v>0</v>
      </c>
      <c r="S26" s="122"/>
      <c r="T26" s="122"/>
      <c r="U26" s="122"/>
      <c r="V26" s="126"/>
      <c r="W26" s="122"/>
      <c r="X26" s="122"/>
      <c r="Y26" s="122"/>
      <c r="Z26" s="122"/>
      <c r="AA26" s="122"/>
    </row>
    <row r="27" spans="2:28" x14ac:dyDescent="0.3">
      <c r="B27" s="122"/>
      <c r="C27" s="122"/>
      <c r="E27" s="109" t="s">
        <v>155</v>
      </c>
      <c r="F27" s="109"/>
      <c r="H27" s="115" t="s">
        <v>155</v>
      </c>
      <c r="I27" s="120">
        <v>0</v>
      </c>
      <c r="J27" s="117">
        <v>0</v>
      </c>
      <c r="K27" s="120">
        <v>0</v>
      </c>
      <c r="L27" s="119">
        <f>VLOOKUP(H27,Expenditure!B:O,14,FALSE)</f>
        <v>0</v>
      </c>
      <c r="M27" s="119">
        <f>VLOOKUP(H27,Expenditure!$B:$P,15,FALSE)</f>
        <v>0</v>
      </c>
      <c r="N27" s="119">
        <f t="shared" si="15"/>
        <v>0</v>
      </c>
      <c r="O27" s="119">
        <f t="shared" si="16"/>
        <v>0</v>
      </c>
      <c r="P27" s="120">
        <v>0</v>
      </c>
      <c r="Q27" s="116">
        <f t="shared" si="17"/>
        <v>0</v>
      </c>
      <c r="S27" s="122"/>
      <c r="T27" s="122"/>
      <c r="U27" s="122"/>
      <c r="V27" s="126"/>
      <c r="W27" s="122"/>
      <c r="X27" s="122"/>
      <c r="Y27" s="122"/>
      <c r="Z27" s="122"/>
      <c r="AA27" s="122"/>
    </row>
    <row r="28" spans="2:28" x14ac:dyDescent="0.3">
      <c r="B28" s="122"/>
      <c r="C28" s="122"/>
      <c r="E28" s="109" t="s">
        <v>155</v>
      </c>
      <c r="F28" s="109"/>
      <c r="H28" s="131" t="s">
        <v>176</v>
      </c>
      <c r="I28" s="112"/>
      <c r="J28" s="111"/>
      <c r="K28" s="112"/>
      <c r="L28" s="113"/>
      <c r="M28" s="113"/>
      <c r="N28" s="113"/>
      <c r="O28" s="113"/>
      <c r="P28" s="112"/>
      <c r="Q28" s="114"/>
      <c r="S28" s="122"/>
      <c r="T28" s="122"/>
      <c r="U28" s="122"/>
      <c r="V28" s="126"/>
      <c r="W28" s="122"/>
      <c r="X28" s="122"/>
      <c r="Y28" s="122"/>
      <c r="Z28" s="122"/>
      <c r="AA28" s="122"/>
    </row>
    <row r="29" spans="2:28" x14ac:dyDescent="0.3">
      <c r="B29" s="122"/>
      <c r="C29" s="122"/>
      <c r="H29" s="115" t="s">
        <v>188</v>
      </c>
      <c r="I29" s="120">
        <v>30000</v>
      </c>
      <c r="J29" s="117">
        <v>29845.030000000002</v>
      </c>
      <c r="K29" s="120">
        <v>37000</v>
      </c>
      <c r="L29" s="119">
        <f>VLOOKUP(H29,Expenditure!B:O,14,FALSE)</f>
        <v>12439.35</v>
      </c>
      <c r="M29" s="119">
        <f>VLOOKUP(H29,Expenditure!$B:$P,15,FALSE)</f>
        <v>0</v>
      </c>
      <c r="N29" s="119">
        <f t="shared" si="3"/>
        <v>12439.35</v>
      </c>
      <c r="O29" s="119">
        <f t="shared" si="4"/>
        <v>24560.65</v>
      </c>
      <c r="P29" s="120">
        <v>37000</v>
      </c>
      <c r="Q29" s="116">
        <f t="shared" si="5"/>
        <v>0</v>
      </c>
      <c r="S29" s="122"/>
      <c r="T29" s="122"/>
      <c r="U29" s="122"/>
      <c r="V29" s="126"/>
      <c r="W29" s="122"/>
      <c r="X29" s="122"/>
      <c r="Y29" s="122"/>
      <c r="Z29" s="122"/>
      <c r="AA29" s="122"/>
    </row>
    <row r="30" spans="2:28" x14ac:dyDescent="0.3">
      <c r="B30" s="122"/>
      <c r="C30" s="122"/>
      <c r="H30" s="115" t="s">
        <v>177</v>
      </c>
      <c r="I30" s="120">
        <v>2000</v>
      </c>
      <c r="J30" s="117">
        <v>0</v>
      </c>
      <c r="K30" s="120">
        <v>2000</v>
      </c>
      <c r="L30" s="119">
        <f>VLOOKUP(H30,Expenditure!B:O,14,FALSE)</f>
        <v>0</v>
      </c>
      <c r="M30" s="119">
        <f>VLOOKUP(H30,Expenditure!$B:$P,15,FALSE)</f>
        <v>0</v>
      </c>
      <c r="N30" s="119">
        <f t="shared" ref="N30:N32" si="18">SUM(L30:M30)</f>
        <v>0</v>
      </c>
      <c r="O30" s="119">
        <f t="shared" ref="O30:O32" si="19">K30-N30</f>
        <v>2000</v>
      </c>
      <c r="P30" s="120">
        <v>2000</v>
      </c>
      <c r="Q30" s="116">
        <f t="shared" ref="Q30:Q32" si="20">P30-K30</f>
        <v>0</v>
      </c>
      <c r="S30" s="122"/>
      <c r="T30" s="122"/>
      <c r="U30" s="122"/>
      <c r="V30" s="126"/>
      <c r="W30" s="122"/>
      <c r="X30" s="122"/>
      <c r="Y30" s="122"/>
      <c r="Z30" s="122"/>
      <c r="AA30" s="122"/>
    </row>
    <row r="31" spans="2:28" x14ac:dyDescent="0.3">
      <c r="B31" s="122"/>
      <c r="C31" s="122"/>
      <c r="H31" s="115" t="s">
        <v>178</v>
      </c>
      <c r="I31" s="120">
        <v>1000</v>
      </c>
      <c r="J31" s="117">
        <v>1065</v>
      </c>
      <c r="K31" s="120">
        <v>1100</v>
      </c>
      <c r="L31" s="119">
        <f>VLOOKUP(H31,Expenditure!B:O,14,FALSE)</f>
        <v>203.5</v>
      </c>
      <c r="M31" s="119">
        <f>VLOOKUP(H31,Expenditure!$B:$P,15,FALSE)</f>
        <v>0</v>
      </c>
      <c r="N31" s="119">
        <f t="shared" si="18"/>
        <v>203.5</v>
      </c>
      <c r="O31" s="119">
        <f t="shared" si="19"/>
        <v>896.5</v>
      </c>
      <c r="P31" s="120">
        <v>1100</v>
      </c>
      <c r="Q31" s="116">
        <f t="shared" si="20"/>
        <v>0</v>
      </c>
      <c r="S31" s="122"/>
      <c r="T31" s="122"/>
      <c r="U31" s="122"/>
      <c r="V31" s="126"/>
      <c r="W31" s="122"/>
      <c r="X31" s="122"/>
      <c r="Y31" s="122"/>
      <c r="Z31" s="122"/>
      <c r="AA31" s="122"/>
    </row>
    <row r="32" spans="2:28" x14ac:dyDescent="0.3">
      <c r="B32" s="122"/>
      <c r="C32" s="122"/>
      <c r="H32" s="115" t="s">
        <v>179</v>
      </c>
      <c r="I32" s="120">
        <v>2500</v>
      </c>
      <c r="J32" s="117">
        <v>1740.1899999999998</v>
      </c>
      <c r="K32" s="120">
        <v>2000</v>
      </c>
      <c r="L32" s="119">
        <f>VLOOKUP(H32,Expenditure!B:O,14,FALSE)</f>
        <v>146.46</v>
      </c>
      <c r="M32" s="119">
        <f>VLOOKUP(H32,Expenditure!$B:$P,15,FALSE)</f>
        <v>0</v>
      </c>
      <c r="N32" s="119">
        <f t="shared" si="18"/>
        <v>146.46</v>
      </c>
      <c r="O32" s="119">
        <f t="shared" si="19"/>
        <v>1853.54</v>
      </c>
      <c r="P32" s="120">
        <v>2000</v>
      </c>
      <c r="Q32" s="116">
        <f t="shared" si="20"/>
        <v>0</v>
      </c>
      <c r="S32" s="122"/>
      <c r="T32" s="122"/>
      <c r="U32" s="122"/>
      <c r="V32" s="126"/>
      <c r="W32" s="122"/>
      <c r="X32" s="122"/>
      <c r="Y32" s="122"/>
      <c r="Z32" s="122"/>
      <c r="AA32" s="122"/>
    </row>
    <row r="33" spans="2:27" x14ac:dyDescent="0.3">
      <c r="B33" s="122"/>
      <c r="C33" s="122"/>
      <c r="H33" s="115" t="s">
        <v>180</v>
      </c>
      <c r="I33" s="120">
        <v>4500</v>
      </c>
      <c r="J33" s="117">
        <v>2904.8599999999997</v>
      </c>
      <c r="K33" s="120">
        <v>3000</v>
      </c>
      <c r="L33" s="119">
        <f>VLOOKUP(H33,Expenditure!B:O,14,FALSE)</f>
        <v>535</v>
      </c>
      <c r="M33" s="119">
        <f>VLOOKUP(H33,Expenditure!$B:$P,15,FALSE)</f>
        <v>0</v>
      </c>
      <c r="N33" s="119">
        <f t="shared" ref="N33:N61" si="21">SUM(L33:M33)</f>
        <v>535</v>
      </c>
      <c r="O33" s="119">
        <f t="shared" ref="O33:O61" si="22">K33-N33</f>
        <v>2465</v>
      </c>
      <c r="P33" s="120">
        <v>3000</v>
      </c>
      <c r="Q33" s="116">
        <f t="shared" ref="Q33:Q61" si="23">P33-K33</f>
        <v>0</v>
      </c>
      <c r="S33" s="122"/>
      <c r="T33" s="122"/>
      <c r="U33" s="122"/>
      <c r="V33" s="126"/>
      <c r="W33" s="122"/>
      <c r="X33" s="122"/>
      <c r="Y33" s="122"/>
      <c r="Z33" s="122"/>
      <c r="AA33" s="122"/>
    </row>
    <row r="34" spans="2:27" x14ac:dyDescent="0.3">
      <c r="B34" s="122"/>
      <c r="C34" s="122"/>
      <c r="H34" s="115" t="s">
        <v>155</v>
      </c>
      <c r="I34" s="120">
        <v>0</v>
      </c>
      <c r="J34" s="117">
        <v>0</v>
      </c>
      <c r="K34" s="120">
        <v>0</v>
      </c>
      <c r="L34" s="119">
        <f>VLOOKUP(H34,Expenditure!B:O,14,FALSE)</f>
        <v>0</v>
      </c>
      <c r="M34" s="119">
        <f>VLOOKUP(H34,Expenditure!$B:$P,15,FALSE)</f>
        <v>0</v>
      </c>
      <c r="N34" s="119">
        <f t="shared" ref="N34:N35" si="24">SUM(L34:M34)</f>
        <v>0</v>
      </c>
      <c r="O34" s="119">
        <f t="shared" ref="O34:O35" si="25">K34-N34</f>
        <v>0</v>
      </c>
      <c r="P34" s="120">
        <v>0</v>
      </c>
      <c r="Q34" s="116">
        <f t="shared" ref="Q34:Q35" si="26">P34-K34</f>
        <v>0</v>
      </c>
      <c r="S34" s="122"/>
      <c r="T34" s="122"/>
      <c r="U34" s="122"/>
      <c r="V34" s="126"/>
      <c r="W34" s="122"/>
      <c r="X34" s="122"/>
      <c r="Y34" s="122"/>
      <c r="Z34" s="122"/>
      <c r="AA34" s="122"/>
    </row>
    <row r="35" spans="2:27" x14ac:dyDescent="0.3">
      <c r="B35" s="122"/>
      <c r="C35" s="122"/>
      <c r="H35" s="115" t="s">
        <v>155</v>
      </c>
      <c r="I35" s="120">
        <v>0</v>
      </c>
      <c r="J35" s="117">
        <v>0</v>
      </c>
      <c r="K35" s="120">
        <v>0</v>
      </c>
      <c r="L35" s="119">
        <f>VLOOKUP(H35,Expenditure!B:O,14,FALSE)</f>
        <v>0</v>
      </c>
      <c r="M35" s="119">
        <f>VLOOKUP(H35,Expenditure!$B:$P,15,FALSE)</f>
        <v>0</v>
      </c>
      <c r="N35" s="119">
        <f t="shared" si="24"/>
        <v>0</v>
      </c>
      <c r="O35" s="119">
        <f t="shared" si="25"/>
        <v>0</v>
      </c>
      <c r="P35" s="120">
        <v>0</v>
      </c>
      <c r="Q35" s="116">
        <f t="shared" si="26"/>
        <v>0</v>
      </c>
      <c r="S35" s="122"/>
      <c r="T35" s="122"/>
      <c r="U35" s="122"/>
      <c r="V35" s="126"/>
      <c r="W35" s="122"/>
      <c r="X35" s="122"/>
      <c r="Y35" s="122"/>
      <c r="Z35" s="122"/>
      <c r="AA35" s="122"/>
    </row>
    <row r="36" spans="2:27" x14ac:dyDescent="0.3">
      <c r="B36" s="122"/>
      <c r="C36" s="122"/>
      <c r="H36" s="131" t="s">
        <v>116</v>
      </c>
      <c r="I36" s="112"/>
      <c r="J36" s="111"/>
      <c r="K36" s="112"/>
      <c r="L36" s="113"/>
      <c r="M36" s="113"/>
      <c r="N36" s="113"/>
      <c r="O36" s="113"/>
      <c r="P36" s="112"/>
      <c r="Q36" s="114"/>
      <c r="S36" s="122"/>
      <c r="T36" s="122"/>
      <c r="U36" s="122"/>
      <c r="V36" s="126"/>
      <c r="W36" s="122"/>
      <c r="X36" s="122"/>
      <c r="Y36" s="122"/>
      <c r="Z36" s="122"/>
      <c r="AA36" s="122"/>
    </row>
    <row r="37" spans="2:27" x14ac:dyDescent="0.3">
      <c r="B37" s="122"/>
      <c r="C37" s="122"/>
      <c r="H37" s="115" t="s">
        <v>181</v>
      </c>
      <c r="I37" s="120">
        <v>5000</v>
      </c>
      <c r="J37" s="117">
        <v>1529.75</v>
      </c>
      <c r="K37" s="120">
        <v>3000</v>
      </c>
      <c r="L37" s="119">
        <f>VLOOKUP(H37,Expenditure!B:O,14,FALSE)</f>
        <v>1077.83</v>
      </c>
      <c r="M37" s="119">
        <f>VLOOKUP(H37,Expenditure!$B:$P,15,FALSE)</f>
        <v>0</v>
      </c>
      <c r="N37" s="119">
        <f t="shared" si="21"/>
        <v>1077.83</v>
      </c>
      <c r="O37" s="119">
        <f t="shared" si="22"/>
        <v>1922.17</v>
      </c>
      <c r="P37" s="120">
        <v>3000</v>
      </c>
      <c r="Q37" s="116">
        <f t="shared" si="23"/>
        <v>0</v>
      </c>
      <c r="S37" s="122"/>
      <c r="T37" s="122"/>
      <c r="U37" s="122"/>
      <c r="V37" s="126"/>
      <c r="W37" s="122"/>
      <c r="X37" s="122"/>
      <c r="Y37" s="122"/>
      <c r="Z37" s="122"/>
      <c r="AA37" s="122"/>
    </row>
    <row r="38" spans="2:27" x14ac:dyDescent="0.3">
      <c r="B38" s="122"/>
      <c r="C38" s="122"/>
      <c r="H38" s="115" t="s">
        <v>155</v>
      </c>
      <c r="I38" s="120">
        <v>0</v>
      </c>
      <c r="J38" s="117">
        <v>0</v>
      </c>
      <c r="K38" s="120">
        <v>0</v>
      </c>
      <c r="L38" s="119">
        <f>VLOOKUP(H38,Expenditure!B:O,14,FALSE)</f>
        <v>0</v>
      </c>
      <c r="M38" s="119">
        <f>VLOOKUP(H38,Expenditure!$B:$P,15,FALSE)</f>
        <v>0</v>
      </c>
      <c r="N38" s="119">
        <f t="shared" ref="N38:N39" si="27">SUM(L38:M38)</f>
        <v>0</v>
      </c>
      <c r="O38" s="119">
        <f t="shared" ref="O38:O39" si="28">K38-N38</f>
        <v>0</v>
      </c>
      <c r="P38" s="120">
        <v>0</v>
      </c>
      <c r="Q38" s="116">
        <f t="shared" ref="Q38:Q39" si="29">P38-K38</f>
        <v>0</v>
      </c>
      <c r="S38" s="122"/>
      <c r="T38" s="122"/>
      <c r="U38" s="122"/>
      <c r="V38" s="126"/>
      <c r="W38" s="122"/>
      <c r="X38" s="122"/>
      <c r="Y38" s="122"/>
      <c r="Z38" s="122"/>
      <c r="AA38" s="122"/>
    </row>
    <row r="39" spans="2:27" x14ac:dyDescent="0.3">
      <c r="B39" s="122"/>
      <c r="C39" s="122"/>
      <c r="H39" s="115" t="s">
        <v>155</v>
      </c>
      <c r="I39" s="120">
        <v>0</v>
      </c>
      <c r="J39" s="117">
        <v>0</v>
      </c>
      <c r="K39" s="120">
        <v>0</v>
      </c>
      <c r="L39" s="119">
        <f>VLOOKUP(H39,Expenditure!B:O,14,FALSE)</f>
        <v>0</v>
      </c>
      <c r="M39" s="119">
        <f>VLOOKUP(H39,Expenditure!$B:$P,15,FALSE)</f>
        <v>0</v>
      </c>
      <c r="N39" s="119">
        <f t="shared" si="27"/>
        <v>0</v>
      </c>
      <c r="O39" s="119">
        <f t="shared" si="28"/>
        <v>0</v>
      </c>
      <c r="P39" s="120">
        <v>0</v>
      </c>
      <c r="Q39" s="116">
        <f t="shared" si="29"/>
        <v>0</v>
      </c>
      <c r="S39" s="122"/>
      <c r="T39" s="122"/>
      <c r="U39" s="122"/>
      <c r="V39" s="126"/>
      <c r="W39" s="122"/>
      <c r="X39" s="122"/>
      <c r="Y39" s="122"/>
      <c r="Z39" s="122"/>
      <c r="AA39" s="122"/>
    </row>
    <row r="40" spans="2:27" x14ac:dyDescent="0.3">
      <c r="B40" s="122"/>
      <c r="C40" s="122"/>
      <c r="H40" s="131" t="s">
        <v>221</v>
      </c>
      <c r="I40" s="112"/>
      <c r="J40" s="111"/>
      <c r="K40" s="112"/>
      <c r="L40" s="113"/>
      <c r="M40" s="113"/>
      <c r="N40" s="113"/>
      <c r="O40" s="113"/>
      <c r="P40" s="112"/>
      <c r="Q40" s="114"/>
      <c r="S40" s="122"/>
      <c r="T40" s="122"/>
      <c r="U40" s="122"/>
      <c r="V40" s="126"/>
      <c r="W40" s="122"/>
      <c r="X40" s="122"/>
      <c r="Y40" s="122"/>
      <c r="Z40" s="122"/>
      <c r="AA40" s="122"/>
    </row>
    <row r="41" spans="2:27" x14ac:dyDescent="0.3">
      <c r="B41" s="122"/>
      <c r="C41" s="122"/>
      <c r="H41" s="115" t="s">
        <v>223</v>
      </c>
      <c r="I41" s="120">
        <v>25000</v>
      </c>
      <c r="J41" s="117">
        <v>16929.03</v>
      </c>
      <c r="K41" s="120">
        <v>0</v>
      </c>
      <c r="L41" s="119">
        <f>VLOOKUP(H41,Expenditure!B:O,14,FALSE)</f>
        <v>0</v>
      </c>
      <c r="M41" s="119">
        <f>VLOOKUP(H41,Expenditure!$B:$P,15,FALSE)</f>
        <v>0</v>
      </c>
      <c r="N41" s="119">
        <f t="shared" ref="N41:N42" si="30">SUM(L41:M41)</f>
        <v>0</v>
      </c>
      <c r="O41" s="119">
        <f t="shared" ref="O41:O42" si="31">K41-N41</f>
        <v>0</v>
      </c>
      <c r="P41" s="120">
        <v>0</v>
      </c>
      <c r="Q41" s="116">
        <f t="shared" ref="Q41:Q42" si="32">P41-K41</f>
        <v>0</v>
      </c>
      <c r="S41" s="122"/>
      <c r="T41" s="122"/>
      <c r="U41" s="122"/>
      <c r="V41" s="126"/>
      <c r="W41" s="122"/>
      <c r="X41" s="122"/>
      <c r="Y41" s="122"/>
      <c r="Z41" s="122"/>
      <c r="AA41" s="122"/>
    </row>
    <row r="42" spans="2:27" x14ac:dyDescent="0.3">
      <c r="B42" s="122"/>
      <c r="C42" s="122"/>
      <c r="H42" s="115" t="s">
        <v>155</v>
      </c>
      <c r="I42" s="120">
        <v>0</v>
      </c>
      <c r="J42" s="117">
        <v>0</v>
      </c>
      <c r="K42" s="120">
        <v>0</v>
      </c>
      <c r="L42" s="119">
        <f>VLOOKUP(H42,Expenditure!B:O,14,FALSE)</f>
        <v>0</v>
      </c>
      <c r="M42" s="119">
        <f>VLOOKUP(H42,Expenditure!$B:$P,15,FALSE)</f>
        <v>0</v>
      </c>
      <c r="N42" s="119">
        <f t="shared" si="30"/>
        <v>0</v>
      </c>
      <c r="O42" s="119">
        <f t="shared" si="31"/>
        <v>0</v>
      </c>
      <c r="P42" s="120">
        <v>0</v>
      </c>
      <c r="Q42" s="116">
        <f t="shared" si="32"/>
        <v>0</v>
      </c>
      <c r="S42" s="122"/>
      <c r="T42" s="122"/>
      <c r="U42" s="122"/>
      <c r="V42" s="126"/>
      <c r="W42" s="122"/>
      <c r="X42" s="122"/>
      <c r="Y42" s="122"/>
      <c r="Z42" s="122"/>
      <c r="AA42" s="122"/>
    </row>
    <row r="43" spans="2:27" x14ac:dyDescent="0.3">
      <c r="B43" s="122"/>
      <c r="C43" s="122"/>
      <c r="H43" s="131" t="s">
        <v>222</v>
      </c>
      <c r="I43" s="112"/>
      <c r="J43" s="111"/>
      <c r="K43" s="112"/>
      <c r="L43" s="113"/>
      <c r="M43" s="113"/>
      <c r="N43" s="113"/>
      <c r="O43" s="113"/>
      <c r="P43" s="112"/>
      <c r="Q43" s="114"/>
      <c r="S43" s="129"/>
      <c r="T43" s="122"/>
      <c r="U43" s="122"/>
      <c r="V43" s="126"/>
      <c r="W43" s="122"/>
      <c r="X43" s="122"/>
      <c r="Y43" s="122"/>
      <c r="Z43" s="122"/>
      <c r="AA43" s="122"/>
    </row>
    <row r="44" spans="2:27" x14ac:dyDescent="0.3">
      <c r="B44" s="122"/>
      <c r="C44" s="122"/>
      <c r="H44" s="115" t="s">
        <v>229</v>
      </c>
      <c r="I44" s="120">
        <v>1000</v>
      </c>
      <c r="J44" s="117">
        <v>0</v>
      </c>
      <c r="K44" s="120">
        <v>1500</v>
      </c>
      <c r="L44" s="119">
        <f>VLOOKUP(H44,Expenditure!B:O,14,FALSE)</f>
        <v>0</v>
      </c>
      <c r="M44" s="119">
        <f>VLOOKUP(H44,Expenditure!$B:$P,15,FALSE)</f>
        <v>0</v>
      </c>
      <c r="N44" s="119">
        <f t="shared" ref="N44:N51" si="33">SUM(L44:M44)</f>
        <v>0</v>
      </c>
      <c r="O44" s="119">
        <f t="shared" ref="O44:O51" si="34">K44-N44</f>
        <v>1500</v>
      </c>
      <c r="P44" s="120">
        <v>500</v>
      </c>
      <c r="Q44" s="116">
        <f t="shared" ref="Q44:Q51" si="35">P44-K44</f>
        <v>-1000</v>
      </c>
      <c r="S44" s="122"/>
      <c r="T44" s="122"/>
      <c r="U44" s="122"/>
      <c r="V44" s="126"/>
      <c r="W44" s="122"/>
      <c r="X44" s="122"/>
      <c r="Y44" s="122"/>
      <c r="Z44" s="122"/>
      <c r="AA44" s="122"/>
    </row>
    <row r="45" spans="2:27" x14ac:dyDescent="0.3">
      <c r="B45" s="122"/>
      <c r="C45" s="122"/>
      <c r="H45" s="115" t="s">
        <v>98</v>
      </c>
      <c r="I45" s="120">
        <v>8000</v>
      </c>
      <c r="J45" s="117">
        <v>4250</v>
      </c>
      <c r="K45" s="120">
        <v>10000</v>
      </c>
      <c r="L45" s="119">
        <f>VLOOKUP(H45,Expenditure!B:O,14,FALSE)</f>
        <v>0</v>
      </c>
      <c r="M45" s="119">
        <f>VLOOKUP(H45,Expenditure!$B:$P,15,FALSE)</f>
        <v>0</v>
      </c>
      <c r="N45" s="119">
        <f t="shared" si="33"/>
        <v>0</v>
      </c>
      <c r="O45" s="119">
        <f t="shared" si="34"/>
        <v>10000</v>
      </c>
      <c r="P45" s="120">
        <v>6250</v>
      </c>
      <c r="Q45" s="116">
        <f t="shared" si="35"/>
        <v>-3750</v>
      </c>
      <c r="S45" s="122"/>
      <c r="T45" s="122"/>
      <c r="U45" s="122"/>
      <c r="V45" s="126"/>
      <c r="W45" s="122"/>
      <c r="X45" s="122"/>
      <c r="Y45" s="122"/>
      <c r="Z45" s="122"/>
      <c r="AA45" s="122"/>
    </row>
    <row r="46" spans="2:27" x14ac:dyDescent="0.3">
      <c r="B46" s="122"/>
      <c r="C46" s="122"/>
      <c r="H46" s="115" t="s">
        <v>227</v>
      </c>
      <c r="I46" s="120">
        <v>5000</v>
      </c>
      <c r="J46" s="117">
        <v>0</v>
      </c>
      <c r="K46" s="120">
        <v>6500</v>
      </c>
      <c r="L46" s="119">
        <f>VLOOKUP(H46,Expenditure!B:O,14,FALSE)</f>
        <v>0</v>
      </c>
      <c r="M46" s="119">
        <f>VLOOKUP(H46,Expenditure!$B:$P,15,FALSE)</f>
        <v>0</v>
      </c>
      <c r="N46" s="119">
        <f t="shared" si="33"/>
        <v>0</v>
      </c>
      <c r="O46" s="119">
        <f t="shared" si="34"/>
        <v>6500</v>
      </c>
      <c r="P46" s="120">
        <v>1500</v>
      </c>
      <c r="Q46" s="116">
        <f t="shared" si="35"/>
        <v>-5000</v>
      </c>
      <c r="S46" s="122"/>
      <c r="T46" s="122"/>
      <c r="U46" s="122"/>
      <c r="V46" s="126"/>
      <c r="W46" s="122"/>
      <c r="X46" s="122"/>
      <c r="Y46" s="122"/>
      <c r="Z46" s="122"/>
      <c r="AA46" s="122"/>
    </row>
    <row r="47" spans="2:27" x14ac:dyDescent="0.3">
      <c r="B47" s="122"/>
      <c r="C47" s="122"/>
      <c r="H47" s="115" t="s">
        <v>5</v>
      </c>
      <c r="I47" s="120">
        <v>10000</v>
      </c>
      <c r="J47" s="117">
        <v>0</v>
      </c>
      <c r="K47" s="120">
        <v>20000</v>
      </c>
      <c r="L47" s="119">
        <f>VLOOKUP(H47,Expenditure!B:O,14,FALSE)</f>
        <v>0</v>
      </c>
      <c r="M47" s="119">
        <f>VLOOKUP(H47,Expenditure!$B:$P,15,FALSE)</f>
        <v>0</v>
      </c>
      <c r="N47" s="119">
        <f t="shared" si="33"/>
        <v>0</v>
      </c>
      <c r="O47" s="119">
        <f t="shared" si="34"/>
        <v>20000</v>
      </c>
      <c r="P47" s="120">
        <v>10000</v>
      </c>
      <c r="Q47" s="116">
        <f t="shared" si="35"/>
        <v>-10000</v>
      </c>
      <c r="S47" s="122"/>
      <c r="T47" s="122"/>
      <c r="U47" s="122"/>
      <c r="V47" s="126"/>
      <c r="W47" s="122"/>
      <c r="X47" s="122"/>
      <c r="Y47" s="122"/>
      <c r="Z47" s="122"/>
      <c r="AA47" s="122"/>
    </row>
    <row r="48" spans="2:27" x14ac:dyDescent="0.3">
      <c r="B48" s="122"/>
      <c r="C48" s="122"/>
      <c r="H48" s="115" t="s">
        <v>228</v>
      </c>
      <c r="I48" s="120">
        <v>8000</v>
      </c>
      <c r="J48" s="117">
        <v>7066.17</v>
      </c>
      <c r="K48" s="120">
        <v>7320</v>
      </c>
      <c r="L48" s="119">
        <f>VLOOKUP(H48,Expenditure!B:O,14,FALSE)</f>
        <v>0</v>
      </c>
      <c r="M48" s="119">
        <f>VLOOKUP(H48,Expenditure!$B:$P,15,FALSE)</f>
        <v>0</v>
      </c>
      <c r="N48" s="119">
        <f t="shared" si="33"/>
        <v>0</v>
      </c>
      <c r="O48" s="119">
        <f t="shared" si="34"/>
        <v>7320</v>
      </c>
      <c r="P48" s="120">
        <v>7000</v>
      </c>
      <c r="Q48" s="116">
        <f t="shared" si="35"/>
        <v>-320</v>
      </c>
      <c r="S48" s="122"/>
      <c r="T48" s="122"/>
      <c r="U48" s="122"/>
      <c r="V48" s="126"/>
      <c r="W48" s="122"/>
      <c r="X48" s="122"/>
      <c r="Y48" s="122"/>
      <c r="Z48" s="122"/>
      <c r="AA48" s="122"/>
    </row>
    <row r="49" spans="2:27" x14ac:dyDescent="0.3">
      <c r="B49" s="122"/>
      <c r="C49" s="122"/>
      <c r="H49" s="115" t="s">
        <v>226</v>
      </c>
      <c r="I49" s="120">
        <v>17000</v>
      </c>
      <c r="J49" s="117">
        <v>0</v>
      </c>
      <c r="K49" s="120">
        <v>18000</v>
      </c>
      <c r="L49" s="119">
        <f>VLOOKUP(H49,Expenditure!B:O,14,FALSE)</f>
        <v>0</v>
      </c>
      <c r="M49" s="119">
        <f>VLOOKUP(H49,Expenditure!$B:$P,15,FALSE)</f>
        <v>0</v>
      </c>
      <c r="N49" s="119">
        <f t="shared" si="33"/>
        <v>0</v>
      </c>
      <c r="O49" s="119">
        <f t="shared" si="34"/>
        <v>18000</v>
      </c>
      <c r="P49" s="120">
        <v>1000</v>
      </c>
      <c r="Q49" s="116">
        <f t="shared" si="35"/>
        <v>-17000</v>
      </c>
      <c r="S49" s="122"/>
      <c r="T49" s="122"/>
      <c r="U49" s="122"/>
      <c r="V49" s="126"/>
      <c r="W49" s="122"/>
      <c r="X49" s="122"/>
      <c r="Y49" s="122"/>
      <c r="Z49" s="122"/>
      <c r="AA49" s="122"/>
    </row>
    <row r="50" spans="2:27" x14ac:dyDescent="0.3">
      <c r="B50" s="122"/>
      <c r="C50" s="122"/>
      <c r="H50" s="115" t="s">
        <v>230</v>
      </c>
      <c r="I50" s="120">
        <v>1000</v>
      </c>
      <c r="J50" s="117">
        <v>0</v>
      </c>
      <c r="K50" s="120">
        <v>0</v>
      </c>
      <c r="L50" s="119">
        <f>VLOOKUP(H50,Expenditure!B:O,14,FALSE)</f>
        <v>0</v>
      </c>
      <c r="M50" s="119">
        <f>VLOOKUP(H50,Expenditure!$B:$P,15,FALSE)</f>
        <v>0</v>
      </c>
      <c r="N50" s="119">
        <f t="shared" si="33"/>
        <v>0</v>
      </c>
      <c r="O50" s="119">
        <f t="shared" si="34"/>
        <v>0</v>
      </c>
      <c r="P50" s="120">
        <v>0</v>
      </c>
      <c r="Q50" s="116">
        <f t="shared" si="35"/>
        <v>0</v>
      </c>
      <c r="S50" s="122"/>
      <c r="T50" s="122"/>
      <c r="U50" s="122"/>
      <c r="V50" s="126"/>
      <c r="W50" s="122"/>
      <c r="X50" s="122"/>
      <c r="Y50" s="122"/>
      <c r="Z50" s="122"/>
      <c r="AA50" s="122"/>
    </row>
    <row r="51" spans="2:27" x14ac:dyDescent="0.3">
      <c r="B51" s="122"/>
      <c r="C51" s="122"/>
      <c r="H51" s="115" t="s">
        <v>155</v>
      </c>
      <c r="I51" s="120">
        <v>0</v>
      </c>
      <c r="J51" s="117">
        <v>0</v>
      </c>
      <c r="K51" s="120">
        <v>0</v>
      </c>
      <c r="L51" s="119">
        <f>VLOOKUP(H51,Expenditure!B:O,14,FALSE)</f>
        <v>0</v>
      </c>
      <c r="M51" s="119">
        <f>VLOOKUP(H51,Expenditure!$B:$P,15,FALSE)</f>
        <v>0</v>
      </c>
      <c r="N51" s="119">
        <f t="shared" si="33"/>
        <v>0</v>
      </c>
      <c r="O51" s="119">
        <f t="shared" si="34"/>
        <v>0</v>
      </c>
      <c r="P51" s="120">
        <v>0</v>
      </c>
      <c r="Q51" s="116">
        <f t="shared" si="35"/>
        <v>0</v>
      </c>
      <c r="S51" s="122"/>
      <c r="T51" s="122"/>
      <c r="U51" s="122"/>
      <c r="V51" s="126"/>
      <c r="W51" s="122"/>
      <c r="X51" s="122"/>
      <c r="Y51" s="122"/>
      <c r="Z51" s="122"/>
      <c r="AA51" s="122"/>
    </row>
    <row r="52" spans="2:27" x14ac:dyDescent="0.3">
      <c r="B52" s="122"/>
      <c r="C52" s="122"/>
      <c r="H52" s="131" t="s">
        <v>182</v>
      </c>
      <c r="I52" s="112"/>
      <c r="J52" s="111"/>
      <c r="K52" s="112"/>
      <c r="L52" s="113"/>
      <c r="M52" s="113"/>
      <c r="N52" s="113"/>
      <c r="O52" s="113"/>
      <c r="P52" s="112"/>
      <c r="Q52" s="114"/>
      <c r="S52" s="122"/>
      <c r="T52" s="122"/>
      <c r="U52" s="122"/>
      <c r="V52" s="126"/>
      <c r="W52" s="122"/>
      <c r="X52" s="122"/>
      <c r="Y52" s="122"/>
      <c r="Z52" s="122"/>
      <c r="AA52" s="122"/>
    </row>
    <row r="53" spans="2:27" x14ac:dyDescent="0.3">
      <c r="B53" s="122"/>
      <c r="C53" s="122"/>
      <c r="H53" s="115" t="s">
        <v>24</v>
      </c>
      <c r="I53" s="120">
        <v>3000</v>
      </c>
      <c r="J53" s="117">
        <v>3497.0900000000006</v>
      </c>
      <c r="K53" s="120">
        <v>1000</v>
      </c>
      <c r="L53" s="119">
        <f>VLOOKUP(H53,Expenditure!B:O,14,FALSE)</f>
        <v>83.82</v>
      </c>
      <c r="M53" s="119">
        <f>VLOOKUP(H53,Expenditure!$B:$P,15,FALSE)</f>
        <v>0</v>
      </c>
      <c r="N53" s="119">
        <f t="shared" si="21"/>
        <v>83.82</v>
      </c>
      <c r="O53" s="119">
        <f t="shared" si="22"/>
        <v>916.18000000000006</v>
      </c>
      <c r="P53" s="120">
        <v>1000</v>
      </c>
      <c r="Q53" s="116">
        <f t="shared" si="23"/>
        <v>0</v>
      </c>
      <c r="S53" s="130"/>
      <c r="T53" s="130"/>
      <c r="U53" s="130"/>
      <c r="V53" s="126"/>
      <c r="W53" s="130"/>
      <c r="X53" s="130"/>
      <c r="Y53" s="130"/>
      <c r="Z53" s="130"/>
      <c r="AA53" s="130"/>
    </row>
    <row r="54" spans="2:27" x14ac:dyDescent="0.3">
      <c r="B54" s="122"/>
      <c r="C54" s="122"/>
      <c r="H54" s="115" t="s">
        <v>155</v>
      </c>
      <c r="I54" s="120">
        <v>0</v>
      </c>
      <c r="J54" s="117">
        <v>0</v>
      </c>
      <c r="K54" s="120">
        <v>0</v>
      </c>
      <c r="L54" s="119">
        <f>VLOOKUP(H54,Expenditure!B:O,14,FALSE)</f>
        <v>0</v>
      </c>
      <c r="M54" s="119">
        <f>VLOOKUP(H54,Expenditure!$B:$P,15,FALSE)</f>
        <v>0</v>
      </c>
      <c r="N54" s="119">
        <f t="shared" ref="N54:N55" si="36">SUM(L54:M54)</f>
        <v>0</v>
      </c>
      <c r="O54" s="119">
        <f t="shared" ref="O54:O55" si="37">K54-N54</f>
        <v>0</v>
      </c>
      <c r="P54" s="120">
        <v>0</v>
      </c>
      <c r="Q54" s="116">
        <f t="shared" ref="Q54:Q55" si="38">P54-K54</f>
        <v>0</v>
      </c>
      <c r="S54" s="122"/>
      <c r="T54" s="122"/>
      <c r="U54" s="122"/>
      <c r="V54" s="126"/>
      <c r="W54" s="122"/>
      <c r="X54" s="122"/>
      <c r="Y54" s="122"/>
      <c r="Z54" s="122"/>
      <c r="AA54" s="122"/>
    </row>
    <row r="55" spans="2:27" x14ac:dyDescent="0.3">
      <c r="B55" s="122"/>
      <c r="C55" s="122"/>
      <c r="H55" s="115" t="s">
        <v>155</v>
      </c>
      <c r="I55" s="120">
        <v>0</v>
      </c>
      <c r="J55" s="117">
        <v>0</v>
      </c>
      <c r="K55" s="120">
        <v>0</v>
      </c>
      <c r="L55" s="119">
        <f>VLOOKUP(H55,Expenditure!B:O,14,FALSE)</f>
        <v>0</v>
      </c>
      <c r="M55" s="119">
        <f>VLOOKUP(H55,Expenditure!$B:$P,15,FALSE)</f>
        <v>0</v>
      </c>
      <c r="N55" s="119">
        <f t="shared" si="36"/>
        <v>0</v>
      </c>
      <c r="O55" s="119">
        <f t="shared" si="37"/>
        <v>0</v>
      </c>
      <c r="P55" s="120">
        <v>0</v>
      </c>
      <c r="Q55" s="116">
        <f t="shared" si="38"/>
        <v>0</v>
      </c>
      <c r="S55" s="122"/>
      <c r="T55" s="122"/>
      <c r="U55" s="122"/>
      <c r="V55" s="126"/>
      <c r="W55" s="122"/>
      <c r="X55" s="122"/>
      <c r="Y55" s="122"/>
      <c r="Z55" s="122"/>
      <c r="AA55" s="122"/>
    </row>
    <row r="56" spans="2:27" x14ac:dyDescent="0.3">
      <c r="B56" s="122"/>
      <c r="C56" s="122"/>
      <c r="H56" s="131" t="s">
        <v>183</v>
      </c>
      <c r="I56" s="112"/>
      <c r="J56" s="111"/>
      <c r="K56" s="112"/>
      <c r="L56" s="113"/>
      <c r="M56" s="113"/>
      <c r="N56" s="113"/>
      <c r="O56" s="113"/>
      <c r="P56" s="112"/>
      <c r="Q56" s="114"/>
      <c r="S56" s="122"/>
      <c r="T56" s="122"/>
      <c r="U56" s="122"/>
      <c r="V56" s="126"/>
      <c r="W56" s="122"/>
      <c r="X56" s="122"/>
      <c r="Y56" s="122"/>
      <c r="Z56" s="122"/>
      <c r="AA56" s="122"/>
    </row>
    <row r="57" spans="2:27" x14ac:dyDescent="0.3">
      <c r="B57" s="122"/>
      <c r="C57" s="122"/>
      <c r="H57" s="115" t="s">
        <v>184</v>
      </c>
      <c r="I57" s="120">
        <v>1700</v>
      </c>
      <c r="J57" s="117">
        <v>0</v>
      </c>
      <c r="K57" s="120">
        <v>1700</v>
      </c>
      <c r="L57" s="119">
        <f>VLOOKUP(H57,Expenditure!B:O,14,FALSE)</f>
        <v>0</v>
      </c>
      <c r="M57" s="119">
        <f>VLOOKUP(H57,Expenditure!$B:$P,15,FALSE)</f>
        <v>0</v>
      </c>
      <c r="N57" s="119">
        <f t="shared" si="21"/>
        <v>0</v>
      </c>
      <c r="O57" s="119">
        <f t="shared" si="22"/>
        <v>1700</v>
      </c>
      <c r="P57" s="120">
        <v>1700</v>
      </c>
      <c r="Q57" s="116">
        <f t="shared" si="23"/>
        <v>0</v>
      </c>
      <c r="S57" s="122"/>
      <c r="T57" s="122"/>
      <c r="U57" s="122"/>
      <c r="V57" s="126"/>
      <c r="W57" s="122"/>
      <c r="X57" s="122"/>
      <c r="Y57" s="122"/>
      <c r="Z57" s="122"/>
      <c r="AA57" s="122"/>
    </row>
    <row r="58" spans="2:27" x14ac:dyDescent="0.3">
      <c r="B58" s="122"/>
      <c r="C58" s="122"/>
      <c r="H58" s="115" t="s">
        <v>192</v>
      </c>
      <c r="I58" s="120">
        <v>95</v>
      </c>
      <c r="J58" s="117">
        <v>95</v>
      </c>
      <c r="K58" s="120">
        <v>95</v>
      </c>
      <c r="L58" s="119">
        <f>VLOOKUP(H58,Expenditure!B:O,14,FALSE)</f>
        <v>0</v>
      </c>
      <c r="M58" s="119">
        <f>VLOOKUP(H58,Expenditure!$B:$P,15,FALSE)</f>
        <v>0</v>
      </c>
      <c r="N58" s="119">
        <f t="shared" ref="N58:N59" si="39">SUM(L58:M58)</f>
        <v>0</v>
      </c>
      <c r="O58" s="119">
        <f t="shared" ref="O58:O59" si="40">K58-N58</f>
        <v>95</v>
      </c>
      <c r="P58" s="120">
        <v>95</v>
      </c>
      <c r="Q58" s="116">
        <f t="shared" ref="Q58:Q59" si="41">P58-K58</f>
        <v>0</v>
      </c>
      <c r="S58" s="122"/>
      <c r="T58" s="122"/>
      <c r="U58" s="122"/>
      <c r="V58" s="126"/>
      <c r="W58" s="122"/>
      <c r="X58" s="122"/>
      <c r="Y58" s="122"/>
      <c r="Z58" s="122"/>
      <c r="AA58" s="122"/>
    </row>
    <row r="59" spans="2:27" x14ac:dyDescent="0.3">
      <c r="B59" s="122"/>
      <c r="C59" s="122"/>
      <c r="H59" s="115" t="s">
        <v>246</v>
      </c>
      <c r="I59" s="120">
        <v>0</v>
      </c>
      <c r="J59" s="117">
        <v>36.659999999999997</v>
      </c>
      <c r="K59" s="120">
        <v>36.99</v>
      </c>
      <c r="L59" s="119">
        <f>VLOOKUP(H59,Expenditure!B:O,14,FALSE)</f>
        <v>2.66</v>
      </c>
      <c r="M59" s="119">
        <f>VLOOKUP(H59,Expenditure!$B:$P,15,FALSE)</f>
        <v>0</v>
      </c>
      <c r="N59" s="119">
        <f t="shared" si="39"/>
        <v>2.66</v>
      </c>
      <c r="O59" s="119">
        <f t="shared" si="40"/>
        <v>34.33</v>
      </c>
      <c r="P59" s="120">
        <v>36.99</v>
      </c>
      <c r="Q59" s="116">
        <f t="shared" si="41"/>
        <v>0</v>
      </c>
      <c r="S59" s="122"/>
      <c r="T59" s="122"/>
      <c r="U59" s="122"/>
      <c r="V59" s="126"/>
      <c r="W59" s="122"/>
      <c r="X59" s="122"/>
      <c r="Y59" s="122"/>
      <c r="Z59" s="122"/>
      <c r="AA59" s="122"/>
    </row>
    <row r="60" spans="2:27" x14ac:dyDescent="0.3">
      <c r="B60" s="122"/>
      <c r="C60" s="122"/>
      <c r="H60" s="131" t="s">
        <v>185</v>
      </c>
      <c r="I60" s="112"/>
      <c r="J60" s="111"/>
      <c r="K60" s="112"/>
      <c r="L60" s="113"/>
      <c r="M60" s="113"/>
      <c r="N60" s="113"/>
      <c r="O60" s="113"/>
      <c r="P60" s="112"/>
      <c r="Q60" s="114"/>
      <c r="S60" s="122"/>
      <c r="T60" s="122"/>
      <c r="U60" s="122"/>
      <c r="V60" s="126"/>
      <c r="W60" s="122"/>
      <c r="X60" s="122"/>
      <c r="Y60" s="122"/>
      <c r="Z60" s="122"/>
      <c r="AA60" s="122"/>
    </row>
    <row r="61" spans="2:27" x14ac:dyDescent="0.3">
      <c r="B61" s="122"/>
      <c r="C61" s="122"/>
      <c r="H61" s="115" t="s">
        <v>89</v>
      </c>
      <c r="I61" s="120">
        <v>3000</v>
      </c>
      <c r="J61" s="117">
        <v>3155.6400000000003</v>
      </c>
      <c r="K61" s="120">
        <v>3000</v>
      </c>
      <c r="L61" s="119">
        <f>VLOOKUP(H61,Expenditure!B:O,14,FALSE)</f>
        <v>2250</v>
      </c>
      <c r="M61" s="119">
        <f>VLOOKUP(H61,Expenditure!$B:$P,15,FALSE)</f>
        <v>0</v>
      </c>
      <c r="N61" s="119">
        <f t="shared" si="21"/>
        <v>2250</v>
      </c>
      <c r="O61" s="119">
        <f t="shared" si="22"/>
        <v>750</v>
      </c>
      <c r="P61" s="120">
        <v>3000</v>
      </c>
      <c r="Q61" s="116">
        <f t="shared" si="23"/>
        <v>0</v>
      </c>
      <c r="S61" s="122"/>
      <c r="T61" s="122"/>
      <c r="U61" s="122"/>
      <c r="V61" s="126"/>
      <c r="W61" s="122"/>
      <c r="X61" s="122"/>
      <c r="Y61" s="122"/>
      <c r="Z61" s="122"/>
      <c r="AA61" s="122"/>
    </row>
    <row r="62" spans="2:27" x14ac:dyDescent="0.3">
      <c r="B62" s="122"/>
      <c r="C62" s="122"/>
      <c r="H62" s="115" t="s">
        <v>155</v>
      </c>
      <c r="I62" s="120">
        <v>0</v>
      </c>
      <c r="J62" s="117">
        <v>0</v>
      </c>
      <c r="K62" s="120">
        <v>0</v>
      </c>
      <c r="L62" s="119">
        <f>VLOOKUP(H62,Expenditure!B:O,14,FALSE)</f>
        <v>0</v>
      </c>
      <c r="M62" s="119">
        <f>VLOOKUP(H62,Expenditure!$B:$P,15,FALSE)</f>
        <v>0</v>
      </c>
      <c r="N62" s="119">
        <f t="shared" ref="N62:N63" si="42">SUM(L62:M62)</f>
        <v>0</v>
      </c>
      <c r="O62" s="119">
        <f t="shared" ref="O62:O63" si="43">K62-N62</f>
        <v>0</v>
      </c>
      <c r="P62" s="120">
        <v>0</v>
      </c>
      <c r="Q62" s="116">
        <f t="shared" ref="Q62:Q63" si="44">P62-K62</f>
        <v>0</v>
      </c>
    </row>
    <row r="63" spans="2:27" x14ac:dyDescent="0.3">
      <c r="B63" s="122"/>
      <c r="C63" s="122"/>
      <c r="H63" s="115" t="s">
        <v>155</v>
      </c>
      <c r="I63" s="120">
        <v>0</v>
      </c>
      <c r="J63" s="117">
        <v>0</v>
      </c>
      <c r="K63" s="120">
        <v>0</v>
      </c>
      <c r="L63" s="119">
        <f>VLOOKUP(H63,Expenditure!B:O,14,FALSE)</f>
        <v>0</v>
      </c>
      <c r="M63" s="119">
        <f>VLOOKUP(H63,Expenditure!$B:$P,15,FALSE)</f>
        <v>0</v>
      </c>
      <c r="N63" s="119">
        <f t="shared" si="42"/>
        <v>0</v>
      </c>
      <c r="O63" s="119">
        <f t="shared" si="43"/>
        <v>0</v>
      </c>
      <c r="P63" s="120">
        <v>0</v>
      </c>
      <c r="Q63" s="116">
        <f t="shared" si="44"/>
        <v>0</v>
      </c>
    </row>
    <row r="64" spans="2:27" x14ac:dyDescent="0.3">
      <c r="B64" s="122"/>
      <c r="C64" s="122"/>
    </row>
    <row r="65" spans="2:3" x14ac:dyDescent="0.3">
      <c r="B65" s="122"/>
      <c r="C65" s="122"/>
    </row>
    <row r="66" spans="2:3" x14ac:dyDescent="0.3">
      <c r="B66" s="122"/>
      <c r="C66" s="122"/>
    </row>
    <row r="67" spans="2:3" x14ac:dyDescent="0.3">
      <c r="B67" s="122"/>
      <c r="C67" s="122"/>
    </row>
  </sheetData>
  <sortState xmlns:xlrd2="http://schemas.microsoft.com/office/spreadsheetml/2017/richdata2" ref="H44:H50">
    <sortCondition ref="H44:H50"/>
  </sortState>
  <mergeCells count="12">
    <mergeCell ref="AA2:AB2"/>
    <mergeCell ref="T2:U2"/>
    <mergeCell ref="P2:Q2"/>
    <mergeCell ref="K2:O2"/>
    <mergeCell ref="V2:Z2"/>
    <mergeCell ref="S2:S3"/>
    <mergeCell ref="E2:E3"/>
    <mergeCell ref="B16:B17"/>
    <mergeCell ref="I2:J2"/>
    <mergeCell ref="H2:H3"/>
    <mergeCell ref="B2:C3"/>
    <mergeCell ref="B8:C9"/>
  </mergeCells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  <pageSetUpPr fitToPage="1"/>
  </sheetPr>
  <dimension ref="A1:U127"/>
  <sheetViews>
    <sheetView showGridLines="0" zoomScaleNormal="100" workbookViewId="0">
      <pane ySplit="5" topLeftCell="A69" activePane="bottomLeft" state="frozen"/>
      <selection pane="bottomLeft" activeCell="B100" sqref="B100"/>
    </sheetView>
  </sheetViews>
  <sheetFormatPr defaultColWidth="8.81640625" defaultRowHeight="13" x14ac:dyDescent="0.35"/>
  <cols>
    <col min="1" max="1" width="2.1796875" style="33" customWidth="1"/>
    <col min="2" max="2" width="18.81640625" style="33" bestFit="1" customWidth="1"/>
    <col min="3" max="3" width="8.54296875" style="34" bestFit="1" customWidth="1"/>
    <col min="4" max="4" width="8.453125" style="35" bestFit="1" customWidth="1"/>
    <col min="5" max="5" width="19.1796875" style="33" bestFit="1" customWidth="1"/>
    <col min="6" max="6" width="10.81640625" style="36" bestFit="1" customWidth="1"/>
    <col min="7" max="7" width="44.81640625" style="37" bestFit="1" customWidth="1"/>
    <col min="8" max="8" width="8.08984375" style="33" bestFit="1" customWidth="1"/>
    <col min="9" max="9" width="7.1796875" style="33" bestFit="1" customWidth="1"/>
    <col min="10" max="10" width="8.1796875" style="33" bestFit="1" customWidth="1"/>
    <col min="11" max="11" width="10.453125" style="33" bestFit="1" customWidth="1"/>
    <col min="12" max="12" width="33.1796875" style="33" bestFit="1" customWidth="1"/>
    <col min="13" max="13" width="3.1796875" style="42" bestFit="1" customWidth="1"/>
    <col min="14" max="14" width="4.81640625" style="42" customWidth="1"/>
    <col min="15" max="15" width="5.1796875" style="42" bestFit="1" customWidth="1"/>
    <col min="16" max="16" width="7.1796875" style="42" bestFit="1" customWidth="1"/>
    <col min="17" max="17" width="8.54296875" style="33" bestFit="1" customWidth="1"/>
    <col min="18" max="18" width="5" style="35" bestFit="1" customWidth="1"/>
    <col min="19" max="19" width="8.54296875" style="33" bestFit="1" customWidth="1"/>
    <col min="20" max="20" width="6.81640625" style="35" bestFit="1" customWidth="1"/>
    <col min="21" max="21" width="11.1796875" style="33" bestFit="1" customWidth="1"/>
    <col min="22" max="16384" width="8.81640625" style="33"/>
  </cols>
  <sheetData>
    <row r="1" spans="2:21" s="32" customFormat="1" x14ac:dyDescent="0.35">
      <c r="B1" s="30" t="str">
        <f>SETUP!C4&amp;" Parish Council"</f>
        <v>Barnton Parish Council</v>
      </c>
      <c r="C1" s="30"/>
      <c r="D1" s="30"/>
      <c r="E1" s="30"/>
      <c r="F1" s="31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</row>
    <row r="2" spans="2:21" s="32" customFormat="1" x14ac:dyDescent="0.35">
      <c r="B2" s="30" t="s">
        <v>96</v>
      </c>
      <c r="C2" s="30"/>
      <c r="D2" s="30"/>
      <c r="E2" s="30"/>
      <c r="F2" s="31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spans="2:21" x14ac:dyDescent="0.35">
      <c r="M3" s="320" t="s">
        <v>127</v>
      </c>
      <c r="N3" s="321"/>
      <c r="O3" s="321"/>
      <c r="P3" s="322"/>
    </row>
    <row r="4" spans="2:21" s="57" customFormat="1" x14ac:dyDescent="0.35">
      <c r="B4" s="40" t="s">
        <v>6</v>
      </c>
      <c r="C4" s="58" t="s">
        <v>128</v>
      </c>
      <c r="D4" s="59" t="s">
        <v>128</v>
      </c>
      <c r="E4" s="40" t="s">
        <v>0</v>
      </c>
      <c r="F4" s="60" t="s">
        <v>86</v>
      </c>
      <c r="G4" s="40" t="s">
        <v>1</v>
      </c>
      <c r="H4" s="61" t="s">
        <v>2</v>
      </c>
      <c r="I4" s="61" t="s">
        <v>3</v>
      </c>
      <c r="J4" s="61" t="s">
        <v>4</v>
      </c>
      <c r="K4" s="40" t="s">
        <v>129</v>
      </c>
      <c r="L4" s="61" t="s">
        <v>130</v>
      </c>
      <c r="M4" s="61" t="s">
        <v>63</v>
      </c>
      <c r="N4" s="81" t="s">
        <v>92</v>
      </c>
      <c r="O4" s="61" t="s">
        <v>14</v>
      </c>
      <c r="P4" s="62" t="s">
        <v>3</v>
      </c>
      <c r="Q4" s="63" t="s">
        <v>71</v>
      </c>
      <c r="R4" s="59" t="s">
        <v>131</v>
      </c>
      <c r="S4" s="63" t="s">
        <v>132</v>
      </c>
      <c r="T4" s="59" t="s">
        <v>133</v>
      </c>
      <c r="U4" s="64" t="s">
        <v>7</v>
      </c>
    </row>
    <row r="5" spans="2:21" s="57" customFormat="1" x14ac:dyDescent="0.35">
      <c r="B5" s="45"/>
      <c r="C5" s="65" t="s">
        <v>12</v>
      </c>
      <c r="D5" s="66" t="s">
        <v>70</v>
      </c>
      <c r="E5" s="45"/>
      <c r="F5" s="67"/>
      <c r="G5" s="45"/>
      <c r="H5" s="68"/>
      <c r="I5" s="68"/>
      <c r="J5" s="68"/>
      <c r="K5" s="45" t="s">
        <v>134</v>
      </c>
      <c r="L5" s="68" t="s">
        <v>21</v>
      </c>
      <c r="M5" s="68"/>
      <c r="N5" s="68"/>
      <c r="O5" s="68"/>
      <c r="P5" s="69" t="s">
        <v>135</v>
      </c>
      <c r="Q5" s="70" t="s">
        <v>12</v>
      </c>
      <c r="R5" s="66" t="s">
        <v>99</v>
      </c>
      <c r="S5" s="70" t="s">
        <v>12</v>
      </c>
      <c r="T5" s="66" t="s">
        <v>136</v>
      </c>
      <c r="U5" s="71"/>
    </row>
    <row r="6" spans="2:21" x14ac:dyDescent="0.35">
      <c r="B6" s="251" t="s">
        <v>94</v>
      </c>
      <c r="C6" s="47">
        <v>46114</v>
      </c>
      <c r="D6" s="48" t="s">
        <v>270</v>
      </c>
      <c r="E6" s="46" t="s">
        <v>192</v>
      </c>
      <c r="F6" s="271" t="s">
        <v>271</v>
      </c>
      <c r="G6" s="46" t="s">
        <v>272</v>
      </c>
      <c r="H6" s="50">
        <v>39.54</v>
      </c>
      <c r="I6" s="50">
        <v>7.9</v>
      </c>
      <c r="J6" s="272">
        <v>47.44</v>
      </c>
      <c r="K6" s="46"/>
      <c r="L6" s="51" t="s">
        <v>170</v>
      </c>
      <c r="M6" s="52"/>
      <c r="N6" s="52"/>
      <c r="O6" s="52"/>
      <c r="P6" s="53"/>
      <c r="Q6" s="47">
        <v>46115</v>
      </c>
      <c r="R6" s="54" t="s">
        <v>467</v>
      </c>
      <c r="S6" s="47">
        <v>46132</v>
      </c>
      <c r="T6" s="51">
        <v>5.2</v>
      </c>
      <c r="U6" s="46" t="s">
        <v>468</v>
      </c>
    </row>
    <row r="7" spans="2:21" x14ac:dyDescent="0.35">
      <c r="B7" s="251" t="s">
        <v>94</v>
      </c>
      <c r="C7" s="47">
        <v>46114</v>
      </c>
      <c r="D7" s="48" t="s">
        <v>273</v>
      </c>
      <c r="E7" s="46" t="s">
        <v>192</v>
      </c>
      <c r="F7" s="271" t="s">
        <v>271</v>
      </c>
      <c r="G7" s="46" t="s">
        <v>274</v>
      </c>
      <c r="H7" s="50">
        <v>3.32</v>
      </c>
      <c r="I7" s="50">
        <v>0.66</v>
      </c>
      <c r="J7" s="272">
        <v>3.98</v>
      </c>
      <c r="K7" s="46"/>
      <c r="L7" s="51" t="s">
        <v>170</v>
      </c>
      <c r="M7" s="52"/>
      <c r="N7" s="52"/>
      <c r="O7" s="52"/>
      <c r="P7" s="53"/>
      <c r="Q7" s="47">
        <v>46116</v>
      </c>
      <c r="R7" s="54" t="s">
        <v>467</v>
      </c>
      <c r="S7" s="47">
        <v>46132</v>
      </c>
      <c r="T7" s="51">
        <v>5.2</v>
      </c>
      <c r="U7" s="46" t="s">
        <v>468</v>
      </c>
    </row>
    <row r="8" spans="2:21" x14ac:dyDescent="0.35">
      <c r="B8" s="251" t="s">
        <v>94</v>
      </c>
      <c r="C8" s="47">
        <v>46114</v>
      </c>
      <c r="D8" s="48" t="s">
        <v>275</v>
      </c>
      <c r="E8" s="46" t="s">
        <v>192</v>
      </c>
      <c r="F8" s="271" t="s">
        <v>276</v>
      </c>
      <c r="G8" s="46" t="s">
        <v>277</v>
      </c>
      <c r="H8" s="50">
        <v>13.32</v>
      </c>
      <c r="I8" s="50">
        <v>2.67</v>
      </c>
      <c r="J8" s="272">
        <v>15.99</v>
      </c>
      <c r="K8" s="46"/>
      <c r="L8" s="51" t="s">
        <v>170</v>
      </c>
      <c r="M8" s="52"/>
      <c r="N8" s="52"/>
      <c r="O8" s="52"/>
      <c r="P8" s="53"/>
      <c r="Q8" s="47">
        <v>46116</v>
      </c>
      <c r="R8" s="54" t="s">
        <v>467</v>
      </c>
      <c r="S8" s="47">
        <v>46132</v>
      </c>
      <c r="T8" s="51">
        <v>5.2</v>
      </c>
      <c r="U8" s="46" t="s">
        <v>468</v>
      </c>
    </row>
    <row r="9" spans="2:21" x14ac:dyDescent="0.35">
      <c r="B9" s="251" t="s">
        <v>94</v>
      </c>
      <c r="C9" s="47">
        <v>46114</v>
      </c>
      <c r="D9" s="48" t="s">
        <v>278</v>
      </c>
      <c r="E9" s="46" t="s">
        <v>192</v>
      </c>
      <c r="F9" s="271" t="s">
        <v>279</v>
      </c>
      <c r="G9" s="46" t="s">
        <v>280</v>
      </c>
      <c r="H9" s="50">
        <v>7.87</v>
      </c>
      <c r="I9" s="50">
        <v>1.58</v>
      </c>
      <c r="J9" s="272">
        <v>9.4499999999999993</v>
      </c>
      <c r="K9" s="46"/>
      <c r="L9" s="51" t="s">
        <v>170</v>
      </c>
      <c r="M9" s="52"/>
      <c r="N9" s="52"/>
      <c r="O9" s="52"/>
      <c r="P9" s="53"/>
      <c r="Q9" s="47">
        <v>46116</v>
      </c>
      <c r="R9" s="54" t="s">
        <v>467</v>
      </c>
      <c r="S9" s="47">
        <v>46132</v>
      </c>
      <c r="T9" s="51">
        <v>5.2</v>
      </c>
      <c r="U9" s="46" t="s">
        <v>468</v>
      </c>
    </row>
    <row r="10" spans="2:21" x14ac:dyDescent="0.35">
      <c r="B10" s="251" t="s">
        <v>94</v>
      </c>
      <c r="C10" s="47">
        <v>46114</v>
      </c>
      <c r="D10" s="48" t="s">
        <v>281</v>
      </c>
      <c r="E10" s="46" t="s">
        <v>192</v>
      </c>
      <c r="F10" s="271" t="str">
        <f>IF(ISBLANK(VLOOKUP(E10,SETUP!E:F,2,FALSE)),"",IFERROR(VLOOKUP(E10,SETUP!E:F,2,FALSE),""))</f>
        <v>GB305634227</v>
      </c>
      <c r="G10" s="46" t="s">
        <v>282</v>
      </c>
      <c r="H10" s="50">
        <v>3.22</v>
      </c>
      <c r="I10" s="50">
        <v>0.64</v>
      </c>
      <c r="J10" s="272">
        <v>3.86</v>
      </c>
      <c r="K10" s="46"/>
      <c r="L10" s="51" t="s">
        <v>170</v>
      </c>
      <c r="M10" s="52"/>
      <c r="N10" s="52"/>
      <c r="O10" s="52"/>
      <c r="P10" s="53"/>
      <c r="Q10" s="47">
        <v>46116</v>
      </c>
      <c r="R10" s="54" t="s">
        <v>467</v>
      </c>
      <c r="S10" s="47">
        <v>46132</v>
      </c>
      <c r="T10" s="51">
        <v>5.2</v>
      </c>
      <c r="U10" s="46" t="s">
        <v>468</v>
      </c>
    </row>
    <row r="11" spans="2:21" x14ac:dyDescent="0.35">
      <c r="B11" s="251" t="s">
        <v>94</v>
      </c>
      <c r="C11" s="47">
        <v>46115</v>
      </c>
      <c r="D11" s="48" t="s">
        <v>283</v>
      </c>
      <c r="E11" s="46" t="s">
        <v>192</v>
      </c>
      <c r="F11" s="271" t="str">
        <f>IF(ISBLANK(VLOOKUP(E11,SETUP!E:F,2,FALSE)),"",IFERROR(VLOOKUP(E11,SETUP!E:F,2,FALSE),""))</f>
        <v>GB305634227</v>
      </c>
      <c r="G11" s="46" t="s">
        <v>284</v>
      </c>
      <c r="H11" s="50">
        <v>5.79</v>
      </c>
      <c r="I11" s="50">
        <v>1.1599999999999999</v>
      </c>
      <c r="J11" s="272">
        <v>6.95</v>
      </c>
      <c r="K11" s="46"/>
      <c r="L11" s="51" t="s">
        <v>170</v>
      </c>
      <c r="M11" s="52"/>
      <c r="N11" s="52"/>
      <c r="O11" s="52"/>
      <c r="P11" s="53"/>
      <c r="Q11" s="47">
        <v>46117</v>
      </c>
      <c r="R11" s="54" t="s">
        <v>467</v>
      </c>
      <c r="S11" s="47">
        <v>46132</v>
      </c>
      <c r="T11" s="51">
        <v>5.2</v>
      </c>
      <c r="U11" s="46" t="s">
        <v>468</v>
      </c>
    </row>
    <row r="12" spans="2:21" x14ac:dyDescent="0.35">
      <c r="B12" s="251" t="s">
        <v>94</v>
      </c>
      <c r="C12" s="47">
        <v>46115</v>
      </c>
      <c r="D12" s="48" t="s">
        <v>353</v>
      </c>
      <c r="E12" s="46" t="s">
        <v>192</v>
      </c>
      <c r="F12" s="271" t="str">
        <f>IF(ISBLANK(VLOOKUP(E12,SETUP!E:F,2,FALSE)),"",IFERROR(VLOOKUP(E12,SETUP!E:F,2,FALSE),""))</f>
        <v>GB305634227</v>
      </c>
      <c r="G12" s="46" t="s">
        <v>354</v>
      </c>
      <c r="H12" s="50">
        <v>14.98</v>
      </c>
      <c r="I12" s="50">
        <v>3</v>
      </c>
      <c r="J12" s="272">
        <v>17.98</v>
      </c>
      <c r="K12" s="46"/>
      <c r="L12" s="51" t="s">
        <v>170</v>
      </c>
      <c r="M12" s="52"/>
      <c r="N12" s="52"/>
      <c r="O12" s="52"/>
      <c r="P12" s="53"/>
      <c r="Q12" s="47">
        <v>46116</v>
      </c>
      <c r="R12" s="54" t="s">
        <v>467</v>
      </c>
      <c r="S12" s="47">
        <v>46132</v>
      </c>
      <c r="T12" s="51">
        <v>5.2</v>
      </c>
      <c r="U12" s="46" t="s">
        <v>468</v>
      </c>
    </row>
    <row r="13" spans="2:21" x14ac:dyDescent="0.35">
      <c r="B13" s="251" t="s">
        <v>94</v>
      </c>
      <c r="C13" s="47">
        <v>46109</v>
      </c>
      <c r="D13" s="48" t="s">
        <v>285</v>
      </c>
      <c r="E13" s="46" t="s">
        <v>286</v>
      </c>
      <c r="F13" s="271">
        <f>IF(ISBLANK(VLOOKUP(E13,SETUP!E:F,2,FALSE)),"",IFERROR(VLOOKUP(E13,SETUP!E:F,2,FALSE),""))</f>
        <v>430357324</v>
      </c>
      <c r="G13" s="46" t="s">
        <v>287</v>
      </c>
      <c r="H13" s="50">
        <v>145.86000000000001</v>
      </c>
      <c r="I13" s="50">
        <v>29.17</v>
      </c>
      <c r="J13" s="272">
        <f t="shared" ref="J13:J76" si="0">IF(AND(ISBLANK(H13),ISBLANK(I13)),"",SUM(H13:I13))</f>
        <v>175.03000000000003</v>
      </c>
      <c r="K13" s="46"/>
      <c r="L13" s="51" t="s">
        <v>179</v>
      </c>
      <c r="M13" s="52"/>
      <c r="N13" s="52"/>
      <c r="O13" s="52"/>
      <c r="P13" s="53"/>
      <c r="Q13" s="47">
        <v>46119</v>
      </c>
      <c r="R13" s="54" t="s">
        <v>469</v>
      </c>
      <c r="S13" s="47">
        <v>46132</v>
      </c>
      <c r="T13" s="51">
        <v>5.2</v>
      </c>
      <c r="U13" s="46" t="s">
        <v>468</v>
      </c>
    </row>
    <row r="14" spans="2:21" x14ac:dyDescent="0.35">
      <c r="B14" s="251" t="s">
        <v>94</v>
      </c>
      <c r="C14" s="47">
        <v>46095</v>
      </c>
      <c r="D14" s="48" t="s">
        <v>288</v>
      </c>
      <c r="E14" s="46" t="s">
        <v>286</v>
      </c>
      <c r="F14" s="271">
        <f>IF(ISBLANK(VLOOKUP(E14,SETUP!E:F,2,FALSE)),"",IFERROR(VLOOKUP(E14,SETUP!E:F,2,FALSE),""))</f>
        <v>430357324</v>
      </c>
      <c r="G14" s="46" t="s">
        <v>287</v>
      </c>
      <c r="H14" s="50">
        <v>0.6</v>
      </c>
      <c r="I14" s="50">
        <v>0.12</v>
      </c>
      <c r="J14" s="272">
        <f t="shared" ref="J14" si="1">IF(AND(ISBLANK(H14),ISBLANK(I14)),"",SUM(H14:I14))</f>
        <v>0.72</v>
      </c>
      <c r="K14" s="46"/>
      <c r="L14" s="51" t="s">
        <v>179</v>
      </c>
      <c r="M14" s="52"/>
      <c r="N14" s="52"/>
      <c r="O14" s="52"/>
      <c r="P14" s="53"/>
      <c r="Q14" s="47">
        <v>46119</v>
      </c>
      <c r="R14" s="54" t="s">
        <v>469</v>
      </c>
      <c r="S14" s="47">
        <v>46132</v>
      </c>
      <c r="T14" s="51">
        <v>5.2</v>
      </c>
      <c r="U14" s="46" t="s">
        <v>468</v>
      </c>
    </row>
    <row r="15" spans="2:21" x14ac:dyDescent="0.35">
      <c r="B15" s="251" t="s">
        <v>94</v>
      </c>
      <c r="C15" s="47">
        <v>46112</v>
      </c>
      <c r="D15" s="48" t="s">
        <v>289</v>
      </c>
      <c r="E15" s="46" t="s">
        <v>290</v>
      </c>
      <c r="F15" s="271">
        <f>IF(ISBLANK(VLOOKUP(E15,SETUP!E:F,2,FALSE)),"",IFERROR(VLOOKUP(E15,SETUP!E:F,2,FALSE),""))</f>
        <v>252345030</v>
      </c>
      <c r="G15" s="46" t="s">
        <v>291</v>
      </c>
      <c r="H15" s="50">
        <v>31.31</v>
      </c>
      <c r="I15" s="50">
        <v>6.26</v>
      </c>
      <c r="J15" s="272">
        <v>37.57</v>
      </c>
      <c r="K15" s="46"/>
      <c r="L15" s="51" t="s">
        <v>170</v>
      </c>
      <c r="M15" s="52"/>
      <c r="N15" s="52"/>
      <c r="O15" s="52"/>
      <c r="P15" s="53"/>
      <c r="Q15" s="47">
        <v>46120</v>
      </c>
      <c r="R15" s="54" t="s">
        <v>469</v>
      </c>
      <c r="S15" s="47">
        <v>46132</v>
      </c>
      <c r="T15" s="51">
        <v>5.2</v>
      </c>
      <c r="U15" s="46" t="s">
        <v>468</v>
      </c>
    </row>
    <row r="16" spans="2:21" x14ac:dyDescent="0.35">
      <c r="B16" s="251" t="s">
        <v>94</v>
      </c>
      <c r="C16" s="47">
        <v>46120</v>
      </c>
      <c r="D16" s="48" t="s">
        <v>292</v>
      </c>
      <c r="E16" s="46" t="s">
        <v>293</v>
      </c>
      <c r="F16" s="271" t="str">
        <f>IF(ISBLANK(VLOOKUP(E16,SETUP!E:F,2,FALSE)),"",IFERROR(VLOOKUP(E16,SETUP!E:F,2,FALSE),""))</f>
        <v/>
      </c>
      <c r="G16" s="46" t="s">
        <v>294</v>
      </c>
      <c r="H16" s="50">
        <v>400</v>
      </c>
      <c r="I16" s="50">
        <v>0</v>
      </c>
      <c r="J16" s="272">
        <v>400</v>
      </c>
      <c r="K16" s="46"/>
      <c r="L16" s="51" t="s">
        <v>188</v>
      </c>
      <c r="M16" s="52"/>
      <c r="N16" s="52"/>
      <c r="O16" s="52"/>
      <c r="P16" s="53"/>
      <c r="Q16" s="47">
        <v>46120</v>
      </c>
      <c r="R16" s="54" t="s">
        <v>470</v>
      </c>
      <c r="S16" s="47">
        <v>46132</v>
      </c>
      <c r="T16" s="51">
        <v>5.2</v>
      </c>
      <c r="U16" s="46" t="s">
        <v>468</v>
      </c>
    </row>
    <row r="17" spans="2:21" x14ac:dyDescent="0.35">
      <c r="B17" s="251" t="s">
        <v>94</v>
      </c>
      <c r="C17" s="47">
        <v>46120</v>
      </c>
      <c r="D17" s="48" t="s">
        <v>295</v>
      </c>
      <c r="E17" s="46" t="s">
        <v>296</v>
      </c>
      <c r="F17" s="271" t="str">
        <f>IF(ISBLANK(VLOOKUP(E17,SETUP!E:F,2,FALSE)),"",IFERROR(VLOOKUP(E17,SETUP!E:F,2,FALSE),""))</f>
        <v/>
      </c>
      <c r="G17" s="46" t="s">
        <v>297</v>
      </c>
      <c r="H17" s="50">
        <v>9.61</v>
      </c>
      <c r="I17" s="50">
        <v>0</v>
      </c>
      <c r="J17" s="272">
        <v>9.61</v>
      </c>
      <c r="K17" s="46"/>
      <c r="L17" s="51" t="s">
        <v>24</v>
      </c>
      <c r="M17" s="52"/>
      <c r="N17" s="52"/>
      <c r="O17" s="52"/>
      <c r="P17" s="53"/>
      <c r="Q17" s="47">
        <v>46120</v>
      </c>
      <c r="R17" s="54" t="s">
        <v>470</v>
      </c>
      <c r="S17" s="47">
        <v>46132</v>
      </c>
      <c r="T17" s="51">
        <v>5.2</v>
      </c>
      <c r="U17" s="46" t="s">
        <v>468</v>
      </c>
    </row>
    <row r="18" spans="2:21" x14ac:dyDescent="0.35">
      <c r="B18" s="251" t="s">
        <v>94</v>
      </c>
      <c r="C18" s="47">
        <v>46107</v>
      </c>
      <c r="D18" s="48" t="s">
        <v>298</v>
      </c>
      <c r="E18" s="46" t="s">
        <v>242</v>
      </c>
      <c r="F18" s="271">
        <f>IF(ISBLANK(VLOOKUP(E18,SETUP!E:F,2,FALSE)),"",IFERROR(VLOOKUP(E18,SETUP!E:F,2,FALSE),""))</f>
        <v>2457193048</v>
      </c>
      <c r="G18" s="79">
        <v>46082</v>
      </c>
      <c r="H18" s="50">
        <v>62.23</v>
      </c>
      <c r="I18" s="50">
        <v>12.45</v>
      </c>
      <c r="J18" s="272">
        <f t="shared" si="0"/>
        <v>74.679999999999993</v>
      </c>
      <c r="K18" s="46"/>
      <c r="L18" s="51" t="s">
        <v>180</v>
      </c>
      <c r="M18" s="52"/>
      <c r="N18" s="52"/>
      <c r="O18" s="52"/>
      <c r="P18" s="53"/>
      <c r="Q18" s="47">
        <v>46121</v>
      </c>
      <c r="R18" s="54" t="s">
        <v>469</v>
      </c>
      <c r="S18" s="47">
        <v>46132</v>
      </c>
      <c r="T18" s="51">
        <v>5.2</v>
      </c>
      <c r="U18" s="46" t="s">
        <v>468</v>
      </c>
    </row>
    <row r="19" spans="2:21" x14ac:dyDescent="0.35">
      <c r="B19" s="251" t="s">
        <v>94</v>
      </c>
      <c r="C19" s="47">
        <v>46120</v>
      </c>
      <c r="D19" s="48" t="s">
        <v>299</v>
      </c>
      <c r="E19" s="46" t="s">
        <v>192</v>
      </c>
      <c r="F19" s="271" t="str">
        <f>IF(ISBLANK(VLOOKUP(E19,SETUP!E:F,2,FALSE)),"",IFERROR(VLOOKUP(E19,SETUP!E:F,2,FALSE),""))</f>
        <v>GB305634227</v>
      </c>
      <c r="G19" s="46" t="s">
        <v>300</v>
      </c>
      <c r="H19" s="50">
        <v>3.91</v>
      </c>
      <c r="I19" s="50">
        <v>0.78</v>
      </c>
      <c r="J19" s="272">
        <v>4.6900000000000004</v>
      </c>
      <c r="K19" s="46"/>
      <c r="L19" s="51" t="s">
        <v>170</v>
      </c>
      <c r="M19" s="52"/>
      <c r="N19" s="52"/>
      <c r="O19" s="52"/>
      <c r="P19" s="53"/>
      <c r="Q19" s="47">
        <v>46122</v>
      </c>
      <c r="R19" s="54" t="s">
        <v>467</v>
      </c>
      <c r="S19" s="47">
        <v>46132</v>
      </c>
      <c r="T19" s="51">
        <v>5.2</v>
      </c>
      <c r="U19" s="46" t="s">
        <v>468</v>
      </c>
    </row>
    <row r="20" spans="2:21" x14ac:dyDescent="0.35">
      <c r="B20" s="251" t="s">
        <v>94</v>
      </c>
      <c r="C20" s="47">
        <v>46120</v>
      </c>
      <c r="D20" s="48" t="s">
        <v>301</v>
      </c>
      <c r="E20" s="46" t="s">
        <v>192</v>
      </c>
      <c r="F20" s="271" t="s">
        <v>302</v>
      </c>
      <c r="G20" s="46" t="s">
        <v>303</v>
      </c>
      <c r="H20" s="50">
        <v>7.91</v>
      </c>
      <c r="I20" s="50">
        <v>1.58</v>
      </c>
      <c r="J20" s="272">
        <f t="shared" si="0"/>
        <v>9.49</v>
      </c>
      <c r="K20" s="46"/>
      <c r="L20" s="51" t="s">
        <v>188</v>
      </c>
      <c r="M20" s="52"/>
      <c r="N20" s="52"/>
      <c r="O20" s="52"/>
      <c r="P20" s="53"/>
      <c r="Q20" s="47">
        <v>46122</v>
      </c>
      <c r="R20" s="54" t="s">
        <v>467</v>
      </c>
      <c r="S20" s="47">
        <v>46132</v>
      </c>
      <c r="T20" s="51">
        <v>5.2</v>
      </c>
      <c r="U20" s="46" t="s">
        <v>468</v>
      </c>
    </row>
    <row r="21" spans="2:21" x14ac:dyDescent="0.35">
      <c r="B21" s="251" t="s">
        <v>94</v>
      </c>
      <c r="C21" s="47">
        <v>46121</v>
      </c>
      <c r="D21" s="48" t="s">
        <v>304</v>
      </c>
      <c r="E21" s="46" t="s">
        <v>192</v>
      </c>
      <c r="F21" s="271" t="s">
        <v>305</v>
      </c>
      <c r="G21" s="46" t="s">
        <v>306</v>
      </c>
      <c r="H21" s="50">
        <v>17.59</v>
      </c>
      <c r="I21" s="50">
        <v>3.52</v>
      </c>
      <c r="J21" s="272">
        <f t="shared" si="0"/>
        <v>21.11</v>
      </c>
      <c r="K21" s="46"/>
      <c r="L21" s="51" t="s">
        <v>188</v>
      </c>
      <c r="M21" s="52"/>
      <c r="N21" s="52"/>
      <c r="O21" s="52"/>
      <c r="P21" s="53"/>
      <c r="Q21" s="47">
        <v>46122</v>
      </c>
      <c r="R21" s="54" t="s">
        <v>467</v>
      </c>
      <c r="S21" s="47">
        <v>46132</v>
      </c>
      <c r="T21" s="51">
        <v>5.2</v>
      </c>
      <c r="U21" s="46" t="s">
        <v>468</v>
      </c>
    </row>
    <row r="22" spans="2:21" x14ac:dyDescent="0.35">
      <c r="B22" s="251" t="s">
        <v>94</v>
      </c>
      <c r="C22" s="47">
        <v>46108</v>
      </c>
      <c r="D22" s="48" t="s">
        <v>307</v>
      </c>
      <c r="E22" s="46" t="s">
        <v>243</v>
      </c>
      <c r="F22" s="271">
        <f>IF(ISBLANK(VLOOKUP(E22,SETUP!E:F,2,FALSE)),"",IFERROR(VLOOKUP(E22,SETUP!E:F,2,FALSE),""))</f>
        <v>684966762</v>
      </c>
      <c r="G22" s="46" t="s">
        <v>308</v>
      </c>
      <c r="H22" s="50">
        <v>168.27</v>
      </c>
      <c r="I22" s="50">
        <v>8.41</v>
      </c>
      <c r="J22" s="272">
        <f t="shared" si="0"/>
        <v>176.68</v>
      </c>
      <c r="K22" s="46"/>
      <c r="L22" s="51" t="s">
        <v>180</v>
      </c>
      <c r="M22" s="52"/>
      <c r="N22" s="52"/>
      <c r="O22" s="52"/>
      <c r="P22" s="53"/>
      <c r="Q22" s="47">
        <v>46122</v>
      </c>
      <c r="R22" s="54" t="s">
        <v>469</v>
      </c>
      <c r="S22" s="47">
        <v>46132</v>
      </c>
      <c r="T22" s="51">
        <v>5.2</v>
      </c>
      <c r="U22" s="46" t="s">
        <v>468</v>
      </c>
    </row>
    <row r="23" spans="2:21" x14ac:dyDescent="0.35">
      <c r="B23" s="251" t="s">
        <v>94</v>
      </c>
      <c r="C23" s="47">
        <v>46109</v>
      </c>
      <c r="D23" s="48" t="s">
        <v>309</v>
      </c>
      <c r="E23" s="46" t="s">
        <v>243</v>
      </c>
      <c r="F23" s="271">
        <f>IF(ISBLANK(VLOOKUP(E23,SETUP!E:F,2,FALSE)),"",IFERROR(VLOOKUP(E23,SETUP!E:F,2,FALSE),""))</f>
        <v>684966762</v>
      </c>
      <c r="G23" s="46" t="s">
        <v>310</v>
      </c>
      <c r="H23" s="50">
        <v>67.37</v>
      </c>
      <c r="I23" s="50">
        <v>3.37</v>
      </c>
      <c r="J23" s="272">
        <f t="shared" si="0"/>
        <v>70.740000000000009</v>
      </c>
      <c r="K23" s="46"/>
      <c r="L23" s="51" t="s">
        <v>180</v>
      </c>
      <c r="M23" s="52"/>
      <c r="N23" s="52"/>
      <c r="O23" s="52"/>
      <c r="P23" s="53"/>
      <c r="Q23" s="47">
        <v>46125</v>
      </c>
      <c r="R23" s="54" t="s">
        <v>469</v>
      </c>
      <c r="S23" s="47">
        <v>46132</v>
      </c>
      <c r="T23" s="51">
        <v>5.2</v>
      </c>
      <c r="U23" s="46" t="s">
        <v>468</v>
      </c>
    </row>
    <row r="24" spans="2:21" x14ac:dyDescent="0.35">
      <c r="B24" s="303" t="s">
        <v>94</v>
      </c>
      <c r="C24" s="304">
        <v>46082</v>
      </c>
      <c r="D24" s="305" t="s">
        <v>360</v>
      </c>
      <c r="E24" s="306" t="s">
        <v>71</v>
      </c>
      <c r="F24" s="307"/>
      <c r="G24" s="306" t="s">
        <v>355</v>
      </c>
      <c r="H24" s="308">
        <v>48.55</v>
      </c>
      <c r="I24" s="308">
        <v>0</v>
      </c>
      <c r="J24" s="309">
        <v>48.55</v>
      </c>
      <c r="K24" s="306"/>
      <c r="L24" s="310" t="s">
        <v>115</v>
      </c>
      <c r="M24" s="311"/>
      <c r="N24" s="311"/>
      <c r="O24" s="311"/>
      <c r="P24" s="312"/>
      <c r="Q24" s="304">
        <v>46128</v>
      </c>
      <c r="R24" s="313" t="s">
        <v>471</v>
      </c>
      <c r="S24" s="304"/>
      <c r="T24" s="310"/>
      <c r="U24" s="306"/>
    </row>
    <row r="25" spans="2:21" x14ac:dyDescent="0.35">
      <c r="B25" s="303" t="s">
        <v>94</v>
      </c>
      <c r="C25" s="304">
        <v>46121</v>
      </c>
      <c r="D25" s="305" t="s">
        <v>359</v>
      </c>
      <c r="E25" s="306" t="s">
        <v>357</v>
      </c>
      <c r="F25" s="307"/>
      <c r="G25" s="306" t="s">
        <v>356</v>
      </c>
      <c r="H25" s="308">
        <v>340</v>
      </c>
      <c r="I25" s="308">
        <v>0</v>
      </c>
      <c r="J25" s="309">
        <v>340</v>
      </c>
      <c r="K25" s="306"/>
      <c r="L25" s="310" t="s">
        <v>188</v>
      </c>
      <c r="M25" s="311"/>
      <c r="N25" s="311"/>
      <c r="O25" s="311"/>
      <c r="P25" s="312"/>
      <c r="Q25" s="304">
        <v>46128</v>
      </c>
      <c r="R25" s="313" t="s">
        <v>470</v>
      </c>
      <c r="S25" s="304"/>
      <c r="T25" s="310"/>
      <c r="U25" s="306"/>
    </row>
    <row r="26" spans="2:21" x14ac:dyDescent="0.35">
      <c r="B26" s="303" t="s">
        <v>94</v>
      </c>
      <c r="C26" s="304">
        <v>46106</v>
      </c>
      <c r="D26" s="305" t="s">
        <v>361</v>
      </c>
      <c r="E26" s="306" t="s">
        <v>358</v>
      </c>
      <c r="F26" s="307">
        <v>879440088</v>
      </c>
      <c r="G26" s="306" t="s">
        <v>325</v>
      </c>
      <c r="H26" s="308">
        <v>109.9</v>
      </c>
      <c r="I26" s="308">
        <v>21.98</v>
      </c>
      <c r="J26" s="309">
        <v>131.88</v>
      </c>
      <c r="K26" s="306"/>
      <c r="L26" s="310" t="s">
        <v>169</v>
      </c>
      <c r="M26" s="311"/>
      <c r="N26" s="311"/>
      <c r="O26" s="311"/>
      <c r="P26" s="312"/>
      <c r="Q26" s="304">
        <v>46129</v>
      </c>
      <c r="R26" s="313" t="s">
        <v>467</v>
      </c>
      <c r="S26" s="304"/>
      <c r="T26" s="310"/>
      <c r="U26" s="306"/>
    </row>
    <row r="27" spans="2:21" x14ac:dyDescent="0.35">
      <c r="B27" s="303" t="s">
        <v>94</v>
      </c>
      <c r="C27" s="304">
        <v>46128</v>
      </c>
      <c r="D27" s="305" t="s">
        <v>362</v>
      </c>
      <c r="E27" s="306" t="s">
        <v>192</v>
      </c>
      <c r="F27" s="307">
        <v>305634227</v>
      </c>
      <c r="G27" s="306" t="s">
        <v>363</v>
      </c>
      <c r="H27" s="308">
        <v>16.649999999999999</v>
      </c>
      <c r="I27" s="308">
        <v>3.33</v>
      </c>
      <c r="J27" s="309">
        <v>19.98</v>
      </c>
      <c r="K27" s="306"/>
      <c r="L27" s="310" t="s">
        <v>170</v>
      </c>
      <c r="M27" s="311"/>
      <c r="N27" s="311"/>
      <c r="O27" s="311"/>
      <c r="P27" s="312"/>
      <c r="Q27" s="304">
        <v>46130</v>
      </c>
      <c r="R27" s="313" t="s">
        <v>467</v>
      </c>
      <c r="S27" s="304"/>
      <c r="T27" s="310"/>
      <c r="U27" s="306"/>
    </row>
    <row r="28" spans="2:21" x14ac:dyDescent="0.35">
      <c r="B28" s="303" t="s">
        <v>94</v>
      </c>
      <c r="C28" s="304">
        <v>46128</v>
      </c>
      <c r="D28" s="305" t="s">
        <v>364</v>
      </c>
      <c r="E28" s="306" t="s">
        <v>192</v>
      </c>
      <c r="F28" s="307" t="s">
        <v>271</v>
      </c>
      <c r="G28" s="306" t="s">
        <v>365</v>
      </c>
      <c r="H28" s="308">
        <v>6</v>
      </c>
      <c r="I28" s="308">
        <v>1.2</v>
      </c>
      <c r="J28" s="309">
        <v>7.2</v>
      </c>
      <c r="K28" s="306"/>
      <c r="L28" s="310" t="s">
        <v>170</v>
      </c>
      <c r="M28" s="311"/>
      <c r="N28" s="311"/>
      <c r="O28" s="311"/>
      <c r="P28" s="312"/>
      <c r="Q28" s="304">
        <v>46130</v>
      </c>
      <c r="R28" s="313" t="s">
        <v>467</v>
      </c>
      <c r="S28" s="304"/>
      <c r="T28" s="310"/>
      <c r="U28" s="306"/>
    </row>
    <row r="29" spans="2:21" x14ac:dyDescent="0.35">
      <c r="B29" s="303" t="s">
        <v>94</v>
      </c>
      <c r="C29" s="304">
        <v>46133</v>
      </c>
      <c r="D29" s="305" t="s">
        <v>366</v>
      </c>
      <c r="E29" s="306" t="s">
        <v>192</v>
      </c>
      <c r="F29" s="307" t="s">
        <v>271</v>
      </c>
      <c r="G29" s="306" t="s">
        <v>367</v>
      </c>
      <c r="H29" s="308">
        <v>20.82</v>
      </c>
      <c r="I29" s="308">
        <v>4.16</v>
      </c>
      <c r="J29" s="309">
        <v>24.98</v>
      </c>
      <c r="K29" s="306"/>
      <c r="L29" s="310" t="s">
        <v>188</v>
      </c>
      <c r="M29" s="311"/>
      <c r="N29" s="311"/>
      <c r="O29" s="311"/>
      <c r="P29" s="312"/>
      <c r="Q29" s="304">
        <v>46133</v>
      </c>
      <c r="R29" s="313" t="s">
        <v>467</v>
      </c>
      <c r="S29" s="304"/>
      <c r="T29" s="310"/>
      <c r="U29" s="306"/>
    </row>
    <row r="30" spans="2:21" x14ac:dyDescent="0.35">
      <c r="B30" s="303" t="s">
        <v>94</v>
      </c>
      <c r="C30" s="304">
        <v>46133</v>
      </c>
      <c r="D30" s="305"/>
      <c r="E30" s="306" t="s">
        <v>330</v>
      </c>
      <c r="F30" s="307"/>
      <c r="G30" s="306" t="s">
        <v>368</v>
      </c>
      <c r="H30" s="308">
        <v>112.75</v>
      </c>
      <c r="I30" s="308">
        <v>0</v>
      </c>
      <c r="J30" s="309">
        <v>112.75</v>
      </c>
      <c r="K30" s="306"/>
      <c r="L30" s="310" t="s">
        <v>191</v>
      </c>
      <c r="M30" s="311"/>
      <c r="N30" s="311"/>
      <c r="O30" s="311"/>
      <c r="P30" s="312"/>
      <c r="Q30" s="304">
        <v>46133</v>
      </c>
      <c r="R30" s="313" t="s">
        <v>470</v>
      </c>
      <c r="S30" s="304"/>
      <c r="T30" s="310"/>
      <c r="U30" s="306"/>
    </row>
    <row r="31" spans="2:21" x14ac:dyDescent="0.35">
      <c r="B31" s="251" t="s">
        <v>94</v>
      </c>
      <c r="C31" s="47">
        <v>46113</v>
      </c>
      <c r="D31" s="48" t="s">
        <v>311</v>
      </c>
      <c r="E31" s="46" t="s">
        <v>184</v>
      </c>
      <c r="F31" s="271"/>
      <c r="G31" s="46" t="s">
        <v>312</v>
      </c>
      <c r="H31" s="50">
        <v>25</v>
      </c>
      <c r="I31" s="50">
        <v>0</v>
      </c>
      <c r="J31" s="273">
        <v>25</v>
      </c>
      <c r="K31" s="46"/>
      <c r="L31" s="51" t="s">
        <v>168</v>
      </c>
      <c r="M31" s="52"/>
      <c r="N31" s="52"/>
      <c r="O31" s="52"/>
      <c r="P31" s="53"/>
      <c r="Q31" s="47">
        <v>46133</v>
      </c>
      <c r="R31" s="54" t="s">
        <v>470</v>
      </c>
      <c r="S31" s="47">
        <v>46132</v>
      </c>
      <c r="T31" s="51">
        <v>5.2</v>
      </c>
      <c r="U31" s="46" t="s">
        <v>468</v>
      </c>
    </row>
    <row r="32" spans="2:21" x14ac:dyDescent="0.35">
      <c r="B32" s="251" t="s">
        <v>94</v>
      </c>
      <c r="C32" s="47">
        <v>46125</v>
      </c>
      <c r="D32" s="48" t="s">
        <v>295</v>
      </c>
      <c r="E32" s="46" t="s">
        <v>317</v>
      </c>
      <c r="F32" s="271" t="str">
        <f>IF(ISBLANK(VLOOKUP(E32,SETUP!E:F,2,FALSE)),"",IFERROR(VLOOKUP(E32,SETUP!E:F,2,FALSE),""))</f>
        <v/>
      </c>
      <c r="G32" s="46" t="s">
        <v>297</v>
      </c>
      <c r="H32" s="50">
        <v>19.2</v>
      </c>
      <c r="I32" s="50">
        <v>0</v>
      </c>
      <c r="J32" s="272">
        <v>19.2</v>
      </c>
      <c r="K32" s="46"/>
      <c r="L32" s="51" t="s">
        <v>24</v>
      </c>
      <c r="M32" s="52"/>
      <c r="N32" s="52"/>
      <c r="O32" s="52"/>
      <c r="P32" s="53"/>
      <c r="Q32" s="47">
        <v>46133</v>
      </c>
      <c r="R32" s="54" t="s">
        <v>470</v>
      </c>
      <c r="S32" s="47">
        <v>46132</v>
      </c>
      <c r="T32" s="51">
        <v>5.2</v>
      </c>
      <c r="U32" s="46" t="s">
        <v>468</v>
      </c>
    </row>
    <row r="33" spans="2:21" x14ac:dyDescent="0.35">
      <c r="B33" s="251" t="s">
        <v>94</v>
      </c>
      <c r="C33" s="47">
        <v>46112</v>
      </c>
      <c r="D33" s="48" t="s">
        <v>321</v>
      </c>
      <c r="E33" s="46" t="s">
        <v>319</v>
      </c>
      <c r="F33" s="271">
        <f>IF(ISBLANK(VLOOKUP(E33,SETUP!E:F,2,FALSE)),"",IFERROR(VLOOKUP(E33,SETUP!E:F,2,FALSE),""))</f>
        <v>832091156</v>
      </c>
      <c r="G33" s="46" t="s">
        <v>322</v>
      </c>
      <c r="H33" s="50">
        <v>420</v>
      </c>
      <c r="I33" s="50">
        <v>84</v>
      </c>
      <c r="J33" s="272">
        <f t="shared" ref="J33" si="2">IF(AND(ISBLANK(H33),ISBLANK(I33)),"",SUM(H33:I33))</f>
        <v>504</v>
      </c>
      <c r="K33" s="46"/>
      <c r="L33" s="51" t="s">
        <v>188</v>
      </c>
      <c r="M33" s="52"/>
      <c r="N33" s="52"/>
      <c r="O33" s="52"/>
      <c r="P33" s="53"/>
      <c r="Q33" s="47">
        <v>46133</v>
      </c>
      <c r="R33" s="54" t="s">
        <v>470</v>
      </c>
      <c r="S33" s="47">
        <v>46132</v>
      </c>
      <c r="T33" s="51">
        <v>5.2</v>
      </c>
      <c r="U33" s="46" t="s">
        <v>468</v>
      </c>
    </row>
    <row r="34" spans="2:21" x14ac:dyDescent="0.35">
      <c r="B34" s="251" t="s">
        <v>94</v>
      </c>
      <c r="C34" s="47">
        <v>46050</v>
      </c>
      <c r="D34" s="48" t="s">
        <v>313</v>
      </c>
      <c r="E34" s="46" t="s">
        <v>314</v>
      </c>
      <c r="F34" s="271" t="s">
        <v>315</v>
      </c>
      <c r="G34" s="46" t="s">
        <v>316</v>
      </c>
      <c r="H34" s="50">
        <v>565</v>
      </c>
      <c r="I34" s="50">
        <v>113</v>
      </c>
      <c r="J34" s="272">
        <f t="shared" si="0"/>
        <v>678</v>
      </c>
      <c r="K34" s="46"/>
      <c r="L34" s="51" t="s">
        <v>181</v>
      </c>
      <c r="M34" s="52"/>
      <c r="N34" s="52"/>
      <c r="O34" s="52"/>
      <c r="P34" s="53"/>
      <c r="Q34" s="47">
        <v>46133</v>
      </c>
      <c r="R34" s="54" t="s">
        <v>470</v>
      </c>
      <c r="S34" s="47">
        <v>46132</v>
      </c>
      <c r="T34" s="51">
        <v>5.2</v>
      </c>
      <c r="U34" s="46" t="s">
        <v>468</v>
      </c>
    </row>
    <row r="35" spans="2:21" x14ac:dyDescent="0.35">
      <c r="B35" s="251" t="s">
        <v>94</v>
      </c>
      <c r="C35" s="47">
        <v>46112</v>
      </c>
      <c r="D35" s="48" t="s">
        <v>323</v>
      </c>
      <c r="E35" s="46" t="s">
        <v>324</v>
      </c>
      <c r="F35" s="271" t="str">
        <f>IF(ISBLANK(VLOOKUP(E35,SETUP!E:F,2,FALSE)),"",IFERROR(VLOOKUP(E35,SETUP!E:F,2,FALSE),""))</f>
        <v/>
      </c>
      <c r="G35" s="46" t="s">
        <v>325</v>
      </c>
      <c r="H35" s="50">
        <v>35</v>
      </c>
      <c r="I35" s="50">
        <v>0</v>
      </c>
      <c r="J35" s="272">
        <f t="shared" ref="J35" si="3">IF(AND(ISBLANK(H35),ISBLANK(I35)),"",SUM(H35:I35))</f>
        <v>35</v>
      </c>
      <c r="K35" s="46"/>
      <c r="L35" s="51" t="s">
        <v>170</v>
      </c>
      <c r="M35" s="52"/>
      <c r="N35" s="52"/>
      <c r="O35" s="52"/>
      <c r="P35" s="53"/>
      <c r="Q35" s="47">
        <v>46133</v>
      </c>
      <c r="R35" s="54" t="s">
        <v>470</v>
      </c>
      <c r="S35" s="47">
        <v>46132</v>
      </c>
      <c r="T35" s="51">
        <v>5.2</v>
      </c>
      <c r="U35" s="46" t="s">
        <v>468</v>
      </c>
    </row>
    <row r="36" spans="2:21" x14ac:dyDescent="0.35">
      <c r="B36" s="251" t="s">
        <v>94</v>
      </c>
      <c r="C36" s="47">
        <v>46112</v>
      </c>
      <c r="D36" s="48" t="s">
        <v>318</v>
      </c>
      <c r="E36" s="46" t="s">
        <v>319</v>
      </c>
      <c r="F36" s="271">
        <f>IF(ISBLANK(VLOOKUP(E36,SETUP!E:F,2,FALSE)),"",IFERROR(VLOOKUP(E36,SETUP!E:F,2,FALSE),""))</f>
        <v>832091156</v>
      </c>
      <c r="G36" s="46" t="s">
        <v>320</v>
      </c>
      <c r="H36" s="50">
        <v>1506.5</v>
      </c>
      <c r="I36" s="50">
        <v>301.3</v>
      </c>
      <c r="J36" s="272">
        <f t="shared" si="0"/>
        <v>1807.8</v>
      </c>
      <c r="K36" s="46"/>
      <c r="L36" s="51" t="s">
        <v>188</v>
      </c>
      <c r="M36" s="52"/>
      <c r="N36" s="52"/>
      <c r="O36" s="52"/>
      <c r="P36" s="53"/>
      <c r="Q36" s="47">
        <v>46133</v>
      </c>
      <c r="R36" s="54" t="s">
        <v>470</v>
      </c>
      <c r="S36" s="47">
        <v>46132</v>
      </c>
      <c r="T36" s="51">
        <v>5.2</v>
      </c>
      <c r="U36" s="46" t="s">
        <v>468</v>
      </c>
    </row>
    <row r="37" spans="2:21" x14ac:dyDescent="0.35">
      <c r="B37" s="303" t="s">
        <v>94</v>
      </c>
      <c r="C37" s="304">
        <v>46128</v>
      </c>
      <c r="D37" s="305" t="s">
        <v>369</v>
      </c>
      <c r="E37" s="306" t="s">
        <v>249</v>
      </c>
      <c r="F37" s="307">
        <v>548248028</v>
      </c>
      <c r="G37" s="306" t="s">
        <v>370</v>
      </c>
      <c r="H37" s="308">
        <v>6240</v>
      </c>
      <c r="I37" s="308">
        <v>1248</v>
      </c>
      <c r="J37" s="309">
        <f t="shared" si="0"/>
        <v>7488</v>
      </c>
      <c r="K37" s="306"/>
      <c r="L37" s="310" t="s">
        <v>188</v>
      </c>
      <c r="M37" s="311"/>
      <c r="N37" s="311"/>
      <c r="O37" s="311"/>
      <c r="P37" s="312"/>
      <c r="Q37" s="304">
        <v>46133</v>
      </c>
      <c r="R37" s="313" t="s">
        <v>470</v>
      </c>
      <c r="S37" s="304"/>
      <c r="T37" s="310"/>
      <c r="U37" s="306"/>
    </row>
    <row r="38" spans="2:21" x14ac:dyDescent="0.35">
      <c r="B38" s="303" t="s">
        <v>94</v>
      </c>
      <c r="C38" s="304">
        <v>46122</v>
      </c>
      <c r="D38" s="305" t="s">
        <v>371</v>
      </c>
      <c r="E38" s="306" t="s">
        <v>371</v>
      </c>
      <c r="F38" s="307">
        <v>610415590</v>
      </c>
      <c r="G38" s="306" t="s">
        <v>372</v>
      </c>
      <c r="H38" s="308">
        <v>88</v>
      </c>
      <c r="I38" s="308">
        <v>22</v>
      </c>
      <c r="J38" s="309">
        <v>110</v>
      </c>
      <c r="K38" s="306"/>
      <c r="L38" s="310" t="s">
        <v>181</v>
      </c>
      <c r="M38" s="311"/>
      <c r="N38" s="311"/>
      <c r="O38" s="311"/>
      <c r="P38" s="312"/>
      <c r="Q38" s="304">
        <v>46133</v>
      </c>
      <c r="R38" s="313" t="s">
        <v>470</v>
      </c>
      <c r="S38" s="304"/>
      <c r="T38" s="310"/>
      <c r="U38" s="306"/>
    </row>
    <row r="39" spans="2:21" x14ac:dyDescent="0.35">
      <c r="B39" s="303" t="s">
        <v>94</v>
      </c>
      <c r="C39" s="304">
        <v>46107</v>
      </c>
      <c r="D39" s="305"/>
      <c r="E39" s="306" t="s">
        <v>330</v>
      </c>
      <c r="F39" s="307"/>
      <c r="G39" s="306" t="s">
        <v>373</v>
      </c>
      <c r="H39" s="308">
        <v>1000</v>
      </c>
      <c r="I39" s="308">
        <v>0</v>
      </c>
      <c r="J39" s="309">
        <v>1000</v>
      </c>
      <c r="K39" s="306"/>
      <c r="L39" s="310" t="s">
        <v>188</v>
      </c>
      <c r="M39" s="311"/>
      <c r="N39" s="311"/>
      <c r="O39" s="311"/>
      <c r="P39" s="312"/>
      <c r="Q39" s="304">
        <v>46134</v>
      </c>
      <c r="R39" s="313" t="s">
        <v>470</v>
      </c>
      <c r="S39" s="304"/>
      <c r="T39" s="310"/>
      <c r="U39" s="306"/>
    </row>
    <row r="40" spans="2:21" x14ac:dyDescent="0.35">
      <c r="B40" s="303" t="s">
        <v>94</v>
      </c>
      <c r="C40" s="304">
        <v>46134</v>
      </c>
      <c r="D40" s="305" t="s">
        <v>295</v>
      </c>
      <c r="E40" s="306" t="s">
        <v>374</v>
      </c>
      <c r="F40" s="307"/>
      <c r="G40" s="306" t="s">
        <v>375</v>
      </c>
      <c r="H40" s="308">
        <v>8.7899999999999991</v>
      </c>
      <c r="I40" s="308">
        <v>0</v>
      </c>
      <c r="J40" s="309">
        <v>8.7899999999999991</v>
      </c>
      <c r="K40" s="306"/>
      <c r="L40" s="310" t="s">
        <v>24</v>
      </c>
      <c r="M40" s="311"/>
      <c r="N40" s="311"/>
      <c r="O40" s="311"/>
      <c r="P40" s="312"/>
      <c r="Q40" s="304">
        <v>46134</v>
      </c>
      <c r="R40" s="313" t="s">
        <v>470</v>
      </c>
      <c r="S40" s="304"/>
      <c r="T40" s="310"/>
      <c r="U40" s="306"/>
    </row>
    <row r="41" spans="2:21" x14ac:dyDescent="0.35">
      <c r="B41" s="303" t="s">
        <v>94</v>
      </c>
      <c r="C41" s="304">
        <v>46112</v>
      </c>
      <c r="D41" s="305" t="s">
        <v>379</v>
      </c>
      <c r="E41" s="306" t="s">
        <v>248</v>
      </c>
      <c r="F41" s="307">
        <v>162705180</v>
      </c>
      <c r="G41" s="306" t="s">
        <v>380</v>
      </c>
      <c r="H41" s="308">
        <v>90</v>
      </c>
      <c r="I41" s="308">
        <v>18</v>
      </c>
      <c r="J41" s="309">
        <v>108</v>
      </c>
      <c r="K41" s="306"/>
      <c r="L41" s="310" t="s">
        <v>178</v>
      </c>
      <c r="M41" s="311"/>
      <c r="N41" s="311"/>
      <c r="O41" s="311"/>
      <c r="P41" s="312"/>
      <c r="Q41" s="304">
        <v>46134</v>
      </c>
      <c r="R41" s="313" t="s">
        <v>470</v>
      </c>
      <c r="S41" s="304"/>
      <c r="T41" s="310"/>
      <c r="U41" s="306"/>
    </row>
    <row r="42" spans="2:21" x14ac:dyDescent="0.35">
      <c r="B42" s="303" t="s">
        <v>94</v>
      </c>
      <c r="C42" s="304">
        <v>46134</v>
      </c>
      <c r="D42" s="305" t="s">
        <v>381</v>
      </c>
      <c r="E42" s="306" t="s">
        <v>249</v>
      </c>
      <c r="F42" s="307">
        <v>548248028</v>
      </c>
      <c r="G42" s="306" t="s">
        <v>249</v>
      </c>
      <c r="H42" s="308">
        <v>25.62</v>
      </c>
      <c r="I42" s="308">
        <v>5.12</v>
      </c>
      <c r="J42" s="309">
        <v>30.74</v>
      </c>
      <c r="K42" s="306"/>
      <c r="L42" s="310" t="s">
        <v>188</v>
      </c>
      <c r="M42" s="311"/>
      <c r="N42" s="311"/>
      <c r="O42" s="311"/>
      <c r="P42" s="312"/>
      <c r="Q42" s="304">
        <v>46139</v>
      </c>
      <c r="R42" s="313" t="s">
        <v>470</v>
      </c>
      <c r="S42" s="304"/>
      <c r="T42" s="310"/>
      <c r="U42" s="306"/>
    </row>
    <row r="43" spans="2:21" x14ac:dyDescent="0.35">
      <c r="B43" s="303" t="s">
        <v>94</v>
      </c>
      <c r="C43" s="304">
        <v>46139</v>
      </c>
      <c r="D43" s="305" t="s">
        <v>382</v>
      </c>
      <c r="E43" s="306" t="s">
        <v>350</v>
      </c>
      <c r="F43" s="307"/>
      <c r="G43" s="306" t="s">
        <v>383</v>
      </c>
      <c r="H43" s="308">
        <v>424.83</v>
      </c>
      <c r="I43" s="308">
        <v>0</v>
      </c>
      <c r="J43" s="309">
        <v>424.83</v>
      </c>
      <c r="K43" s="306"/>
      <c r="L43" s="310" t="s">
        <v>181</v>
      </c>
      <c r="M43" s="311"/>
      <c r="N43" s="311"/>
      <c r="O43" s="311"/>
      <c r="P43" s="312"/>
      <c r="Q43" s="304">
        <v>46139</v>
      </c>
      <c r="R43" s="313" t="s">
        <v>470</v>
      </c>
      <c r="S43" s="304"/>
      <c r="T43" s="310"/>
      <c r="U43" s="306"/>
    </row>
    <row r="44" spans="2:21" x14ac:dyDescent="0.35">
      <c r="B44" s="303" t="s">
        <v>94</v>
      </c>
      <c r="C44" s="304">
        <v>46134</v>
      </c>
      <c r="D44" s="305" t="s">
        <v>384</v>
      </c>
      <c r="E44" s="306" t="s">
        <v>249</v>
      </c>
      <c r="F44" s="307">
        <v>548248028</v>
      </c>
      <c r="G44" s="306" t="s">
        <v>385</v>
      </c>
      <c r="H44" s="308">
        <v>110</v>
      </c>
      <c r="I44" s="308">
        <v>22</v>
      </c>
      <c r="J44" s="309">
        <v>132</v>
      </c>
      <c r="K44" s="306"/>
      <c r="L44" s="310" t="s">
        <v>188</v>
      </c>
      <c r="M44" s="311"/>
      <c r="N44" s="311"/>
      <c r="O44" s="311"/>
      <c r="P44" s="312"/>
      <c r="Q44" s="304">
        <v>46139</v>
      </c>
      <c r="R44" s="313" t="s">
        <v>470</v>
      </c>
      <c r="S44" s="304"/>
      <c r="T44" s="310"/>
      <c r="U44" s="306"/>
    </row>
    <row r="45" spans="2:21" x14ac:dyDescent="0.35">
      <c r="B45" s="303" t="s">
        <v>94</v>
      </c>
      <c r="C45" s="304">
        <v>46137</v>
      </c>
      <c r="D45" s="305" t="s">
        <v>386</v>
      </c>
      <c r="E45" s="306" t="s">
        <v>387</v>
      </c>
      <c r="F45" s="307"/>
      <c r="G45" s="306" t="s">
        <v>388</v>
      </c>
      <c r="H45" s="308">
        <v>1.33</v>
      </c>
      <c r="I45" s="308">
        <v>0.26</v>
      </c>
      <c r="J45" s="309">
        <v>1.59</v>
      </c>
      <c r="K45" s="306"/>
      <c r="L45" s="310" t="s">
        <v>246</v>
      </c>
      <c r="M45" s="311"/>
      <c r="N45" s="311"/>
      <c r="O45" s="311"/>
      <c r="P45" s="312"/>
      <c r="Q45" s="304">
        <v>46140</v>
      </c>
      <c r="R45" s="313" t="s">
        <v>467</v>
      </c>
      <c r="S45" s="304"/>
      <c r="T45" s="310"/>
      <c r="U45" s="306"/>
    </row>
    <row r="46" spans="2:21" x14ac:dyDescent="0.35">
      <c r="B46" s="303" t="s">
        <v>94</v>
      </c>
      <c r="C46" s="304">
        <v>46141</v>
      </c>
      <c r="D46" s="305" t="s">
        <v>295</v>
      </c>
      <c r="E46" s="306" t="s">
        <v>389</v>
      </c>
      <c r="F46" s="307"/>
      <c r="G46" s="306" t="s">
        <v>390</v>
      </c>
      <c r="H46" s="308">
        <v>10.9</v>
      </c>
      <c r="I46" s="308">
        <v>0</v>
      </c>
      <c r="J46" s="309">
        <v>10.9</v>
      </c>
      <c r="K46" s="306"/>
      <c r="L46" s="310" t="s">
        <v>24</v>
      </c>
      <c r="M46" s="311"/>
      <c r="N46" s="311"/>
      <c r="O46" s="311"/>
      <c r="P46" s="312"/>
      <c r="Q46" s="304">
        <v>46141</v>
      </c>
      <c r="R46" s="313" t="s">
        <v>470</v>
      </c>
      <c r="S46" s="304"/>
      <c r="T46" s="310"/>
      <c r="U46" s="306"/>
    </row>
    <row r="47" spans="2:21" x14ac:dyDescent="0.35">
      <c r="B47" s="251" t="s">
        <v>154</v>
      </c>
      <c r="C47" s="47">
        <v>46136</v>
      </c>
      <c r="D47" s="48" t="s">
        <v>326</v>
      </c>
      <c r="E47" s="46" t="s">
        <v>327</v>
      </c>
      <c r="F47" s="271" t="str">
        <f>IF(ISBLANK(VLOOKUP(E47,SETUP!E:F,2,FALSE)),"",IFERROR(VLOOKUP(E47,SETUP!E:F,2,FALSE),""))</f>
        <v/>
      </c>
      <c r="G47" s="46" t="s">
        <v>333</v>
      </c>
      <c r="H47" s="50">
        <v>542.16999999999996</v>
      </c>
      <c r="I47" s="50">
        <v>0</v>
      </c>
      <c r="J47" s="272">
        <f t="shared" si="0"/>
        <v>542.16999999999996</v>
      </c>
      <c r="K47" s="46"/>
      <c r="L47" s="51" t="s">
        <v>190</v>
      </c>
      <c r="M47" s="52"/>
      <c r="N47" s="52"/>
      <c r="O47" s="52"/>
      <c r="P47" s="53"/>
      <c r="Q47" s="47">
        <v>46136</v>
      </c>
      <c r="R47" s="54" t="s">
        <v>470</v>
      </c>
      <c r="S47" s="47">
        <v>46132</v>
      </c>
      <c r="T47" s="51">
        <v>5.2</v>
      </c>
      <c r="U47" s="46" t="s">
        <v>468</v>
      </c>
    </row>
    <row r="48" spans="2:21" x14ac:dyDescent="0.35">
      <c r="B48" s="251" t="s">
        <v>154</v>
      </c>
      <c r="C48" s="47">
        <v>46136</v>
      </c>
      <c r="D48" s="48" t="s">
        <v>326</v>
      </c>
      <c r="E48" s="46" t="s">
        <v>328</v>
      </c>
      <c r="F48" s="271" t="str">
        <f>IF(ISBLANK(VLOOKUP(E48,SETUP!E:F,2,FALSE)),"",IFERROR(VLOOKUP(E48,SETUP!E:F,2,FALSE),""))</f>
        <v/>
      </c>
      <c r="G48" s="46" t="s">
        <v>333</v>
      </c>
      <c r="H48" s="50">
        <v>629.52</v>
      </c>
      <c r="I48" s="50">
        <v>0</v>
      </c>
      <c r="J48" s="272">
        <f t="shared" si="0"/>
        <v>629.52</v>
      </c>
      <c r="K48" s="46"/>
      <c r="L48" s="51" t="s">
        <v>189</v>
      </c>
      <c r="M48" s="52"/>
      <c r="N48" s="52"/>
      <c r="O48" s="52"/>
      <c r="P48" s="53"/>
      <c r="Q48" s="47">
        <v>46136</v>
      </c>
      <c r="R48" s="54" t="s">
        <v>470</v>
      </c>
      <c r="S48" s="47">
        <v>46132</v>
      </c>
      <c r="T48" s="51">
        <v>5.2</v>
      </c>
      <c r="U48" s="46" t="s">
        <v>468</v>
      </c>
    </row>
    <row r="49" spans="1:21" x14ac:dyDescent="0.35">
      <c r="B49" s="251" t="s">
        <v>154</v>
      </c>
      <c r="C49" s="47">
        <v>46136</v>
      </c>
      <c r="D49" s="48" t="s">
        <v>326</v>
      </c>
      <c r="E49" s="46" t="s">
        <v>329</v>
      </c>
      <c r="F49" s="271" t="str">
        <f>IF(ISBLANK(VLOOKUP(E49,SETUP!E:F,2,FALSE)),"",IFERROR(VLOOKUP(E49,SETUP!E:F,2,FALSE),""))</f>
        <v/>
      </c>
      <c r="G49" s="46" t="s">
        <v>333</v>
      </c>
      <c r="H49" s="50">
        <v>1248.26</v>
      </c>
      <c r="I49" s="50">
        <v>0</v>
      </c>
      <c r="J49" s="272">
        <f t="shared" si="0"/>
        <v>1248.26</v>
      </c>
      <c r="K49" s="46"/>
      <c r="L49" s="51" t="s">
        <v>247</v>
      </c>
      <c r="M49" s="52"/>
      <c r="N49" s="52"/>
      <c r="O49" s="52"/>
      <c r="P49" s="53"/>
      <c r="Q49" s="47">
        <v>46136</v>
      </c>
      <c r="R49" s="54" t="s">
        <v>470</v>
      </c>
      <c r="S49" s="47">
        <v>46132</v>
      </c>
      <c r="T49" s="51">
        <v>5.2</v>
      </c>
      <c r="U49" s="46" t="s">
        <v>468</v>
      </c>
    </row>
    <row r="50" spans="1:21" x14ac:dyDescent="0.35">
      <c r="B50" s="251" t="s">
        <v>154</v>
      </c>
      <c r="C50" s="47">
        <v>46136</v>
      </c>
      <c r="D50" s="48" t="s">
        <v>326</v>
      </c>
      <c r="E50" s="46" t="s">
        <v>330</v>
      </c>
      <c r="F50" s="271" t="str">
        <f>IF(ISBLANK(VLOOKUP(E50,SETUP!E:F,2,FALSE)),"",IFERROR(VLOOKUP(E50,SETUP!E:F,2,FALSE),""))</f>
        <v/>
      </c>
      <c r="G50" s="46" t="s">
        <v>333</v>
      </c>
      <c r="H50" s="50">
        <v>2494.15</v>
      </c>
      <c r="I50" s="50">
        <v>0</v>
      </c>
      <c r="J50" s="272">
        <f t="shared" si="0"/>
        <v>2494.15</v>
      </c>
      <c r="K50" s="46"/>
      <c r="L50" s="51" t="s">
        <v>164</v>
      </c>
      <c r="M50" s="52"/>
      <c r="N50" s="52"/>
      <c r="O50" s="52"/>
      <c r="P50" s="53"/>
      <c r="Q50" s="47">
        <v>46136</v>
      </c>
      <c r="R50" s="54" t="s">
        <v>470</v>
      </c>
      <c r="S50" s="47">
        <v>46132</v>
      </c>
      <c r="T50" s="51">
        <v>5.2</v>
      </c>
      <c r="U50" s="46" t="s">
        <v>468</v>
      </c>
    </row>
    <row r="51" spans="1:21" x14ac:dyDescent="0.35">
      <c r="B51" s="251" t="s">
        <v>154</v>
      </c>
      <c r="C51" s="47">
        <v>46136</v>
      </c>
      <c r="D51" s="48" t="s">
        <v>326</v>
      </c>
      <c r="E51" s="46" t="s">
        <v>331</v>
      </c>
      <c r="F51" s="271" t="str">
        <f>IF(ISBLANK(VLOOKUP(E51,SETUP!E:F,2,FALSE)),"",IFERROR(VLOOKUP(E51,SETUP!E:F,2,FALSE),""))</f>
        <v/>
      </c>
      <c r="G51" s="46" t="s">
        <v>333</v>
      </c>
      <c r="H51" s="50">
        <v>1256.28</v>
      </c>
      <c r="I51" s="50">
        <v>0</v>
      </c>
      <c r="J51" s="272">
        <f t="shared" si="0"/>
        <v>1256.28</v>
      </c>
      <c r="K51" s="46"/>
      <c r="L51" s="51" t="s">
        <v>165</v>
      </c>
      <c r="M51" s="52"/>
      <c r="N51" s="52"/>
      <c r="O51" s="52"/>
      <c r="P51" s="53"/>
      <c r="Q51" s="47">
        <v>46136</v>
      </c>
      <c r="R51" s="54" t="s">
        <v>470</v>
      </c>
      <c r="S51" s="47">
        <v>46132</v>
      </c>
      <c r="T51" s="51">
        <v>5.2</v>
      </c>
      <c r="U51" s="46" t="s">
        <v>468</v>
      </c>
    </row>
    <row r="52" spans="1:21" x14ac:dyDescent="0.35">
      <c r="B52" s="251" t="s">
        <v>154</v>
      </c>
      <c r="C52" s="47">
        <v>46136</v>
      </c>
      <c r="D52" s="48" t="s">
        <v>326</v>
      </c>
      <c r="E52" s="46" t="s">
        <v>332</v>
      </c>
      <c r="F52" s="271" t="str">
        <f>IF(ISBLANK(VLOOKUP(E52,SETUP!E:F,2,FALSE)),"",IFERROR(VLOOKUP(E52,SETUP!E:F,2,FALSE),""))</f>
        <v/>
      </c>
      <c r="G52" s="46" t="s">
        <v>333</v>
      </c>
      <c r="H52" s="50">
        <v>1348.22</v>
      </c>
      <c r="I52" s="50">
        <v>0</v>
      </c>
      <c r="J52" s="272">
        <f t="shared" si="0"/>
        <v>1348.22</v>
      </c>
      <c r="K52" s="46"/>
      <c r="L52" s="51" t="s">
        <v>166</v>
      </c>
      <c r="M52" s="52"/>
      <c r="N52" s="52"/>
      <c r="O52" s="52"/>
      <c r="P52" s="53"/>
      <c r="Q52" s="47">
        <v>46136</v>
      </c>
      <c r="R52" s="54" t="s">
        <v>470</v>
      </c>
      <c r="S52" s="47">
        <v>46132</v>
      </c>
      <c r="T52" s="51">
        <v>5.2</v>
      </c>
      <c r="U52" s="46" t="s">
        <v>468</v>
      </c>
    </row>
    <row r="53" spans="1:21" x14ac:dyDescent="0.35">
      <c r="B53" s="251" t="s">
        <v>154</v>
      </c>
      <c r="C53" s="47">
        <v>46128</v>
      </c>
      <c r="D53" s="48" t="s">
        <v>326</v>
      </c>
      <c r="E53" s="46" t="s">
        <v>71</v>
      </c>
      <c r="F53" s="271" t="str">
        <f>IF(ISBLANK(VLOOKUP(E53,SETUP!E:F,2,FALSE)),"",IFERROR(VLOOKUP(E53,SETUP!E:F,2,FALSE),""))</f>
        <v/>
      </c>
      <c r="G53" s="46" t="s">
        <v>115</v>
      </c>
      <c r="H53" s="50">
        <v>3</v>
      </c>
      <c r="I53" s="50">
        <v>0</v>
      </c>
      <c r="J53" s="272">
        <f t="shared" si="0"/>
        <v>3</v>
      </c>
      <c r="K53" s="46"/>
      <c r="L53" s="51" t="s">
        <v>115</v>
      </c>
      <c r="M53" s="52"/>
      <c r="N53" s="52"/>
      <c r="O53" s="52"/>
      <c r="P53" s="53"/>
      <c r="Q53" s="47">
        <v>46128</v>
      </c>
      <c r="R53" s="54" t="s">
        <v>471</v>
      </c>
      <c r="S53" s="47">
        <v>46132</v>
      </c>
      <c r="T53" s="51">
        <v>5.2</v>
      </c>
      <c r="U53" s="46" t="s">
        <v>468</v>
      </c>
    </row>
    <row r="54" spans="1:21" x14ac:dyDescent="0.35">
      <c r="B54" s="251" t="s">
        <v>58</v>
      </c>
      <c r="C54" s="47">
        <v>46132</v>
      </c>
      <c r="D54" s="48" t="s">
        <v>393</v>
      </c>
      <c r="E54" s="46" t="s">
        <v>350</v>
      </c>
      <c r="F54" s="271" t="str">
        <f>IF(ISBLANK(VLOOKUP(E54,SETUP!E:F,2,FALSE)),"",IFERROR(VLOOKUP(E54,SETUP!E:F,2,FALSE),""))</f>
        <v/>
      </c>
      <c r="G54" s="46" t="s">
        <v>394</v>
      </c>
      <c r="H54" s="50">
        <v>6881.65</v>
      </c>
      <c r="I54" s="50">
        <v>0</v>
      </c>
      <c r="J54" s="272">
        <v>6881.65</v>
      </c>
      <c r="K54" s="46"/>
      <c r="L54" s="51" t="s">
        <v>120</v>
      </c>
      <c r="M54" s="52"/>
      <c r="N54" s="52"/>
      <c r="O54" s="52"/>
      <c r="P54" s="53"/>
      <c r="Q54" s="47">
        <v>46141</v>
      </c>
      <c r="R54" s="54" t="s">
        <v>470</v>
      </c>
      <c r="S54" s="47">
        <v>46132</v>
      </c>
      <c r="T54" s="51">
        <v>5.2</v>
      </c>
      <c r="U54" s="46" t="s">
        <v>468</v>
      </c>
    </row>
    <row r="55" spans="1:21" x14ac:dyDescent="0.35">
      <c r="A55" s="300"/>
      <c r="B55" s="276" t="s">
        <v>94</v>
      </c>
      <c r="C55" s="277">
        <v>46147</v>
      </c>
      <c r="D55" s="278" t="s">
        <v>401</v>
      </c>
      <c r="E55" s="279" t="s">
        <v>192</v>
      </c>
      <c r="F55" s="280" t="str">
        <f>IF(ISBLANK(VLOOKUP(E55,SETUP!E:F,2,FALSE)),"",IFERROR(VLOOKUP(E55,SETUP!E:F,2,FALSE),""))</f>
        <v>GB305634227</v>
      </c>
      <c r="G55" s="279" t="s">
        <v>402</v>
      </c>
      <c r="H55" s="281">
        <v>9.6999999999999993</v>
      </c>
      <c r="I55" s="281">
        <v>1.94</v>
      </c>
      <c r="J55" s="301">
        <v>11.64</v>
      </c>
      <c r="K55" s="279"/>
      <c r="L55" s="282" t="s">
        <v>170</v>
      </c>
      <c r="M55" s="283"/>
      <c r="N55" s="283"/>
      <c r="O55" s="283"/>
      <c r="P55" s="284"/>
      <c r="Q55" s="277">
        <v>46144</v>
      </c>
      <c r="R55" s="302" t="s">
        <v>467</v>
      </c>
      <c r="S55" s="277"/>
      <c r="T55" s="282"/>
      <c r="U55" s="279"/>
    </row>
    <row r="56" spans="1:21" x14ac:dyDescent="0.35">
      <c r="A56" s="300"/>
      <c r="B56" s="276" t="s">
        <v>94</v>
      </c>
      <c r="C56" s="277">
        <v>46148</v>
      </c>
      <c r="D56" s="278" t="s">
        <v>403</v>
      </c>
      <c r="E56" s="279" t="s">
        <v>192</v>
      </c>
      <c r="F56" s="280" t="str">
        <f>IF(ISBLANK(VLOOKUP(E56,SETUP!E:F,2,FALSE)),"",IFERROR(VLOOKUP(E56,SETUP!E:F,2,FALSE),""))</f>
        <v>GB305634227</v>
      </c>
      <c r="G56" s="279" t="s">
        <v>404</v>
      </c>
      <c r="H56" s="281">
        <v>5.67</v>
      </c>
      <c r="I56" s="281">
        <v>1.1299999999999999</v>
      </c>
      <c r="J56" s="301">
        <f t="shared" si="0"/>
        <v>6.8</v>
      </c>
      <c r="K56" s="279"/>
      <c r="L56" s="282" t="s">
        <v>170</v>
      </c>
      <c r="M56" s="283"/>
      <c r="N56" s="283"/>
      <c r="O56" s="283"/>
      <c r="P56" s="284"/>
      <c r="Q56" s="277">
        <v>46149</v>
      </c>
      <c r="R56" s="302" t="s">
        <v>467</v>
      </c>
      <c r="S56" s="277"/>
      <c r="T56" s="282"/>
      <c r="U56" s="279"/>
    </row>
    <row r="57" spans="1:21" x14ac:dyDescent="0.35">
      <c r="A57" s="300"/>
      <c r="B57" s="276" t="s">
        <v>94</v>
      </c>
      <c r="C57" s="277">
        <v>46148</v>
      </c>
      <c r="D57" s="278" t="s">
        <v>405</v>
      </c>
      <c r="E57" s="279" t="s">
        <v>192</v>
      </c>
      <c r="F57" s="280" t="str">
        <f>IF(ISBLANK(VLOOKUP(E57,SETUP!E:F,2,FALSE)),"",IFERROR(VLOOKUP(E57,SETUP!E:F,2,FALSE),""))</f>
        <v>GB305634227</v>
      </c>
      <c r="G57" s="279" t="s">
        <v>406</v>
      </c>
      <c r="H57" s="281">
        <v>18.32</v>
      </c>
      <c r="I57" s="281">
        <v>3.66</v>
      </c>
      <c r="J57" s="301">
        <f t="shared" si="0"/>
        <v>21.98</v>
      </c>
      <c r="K57" s="279"/>
      <c r="L57" s="282" t="s">
        <v>170</v>
      </c>
      <c r="M57" s="283"/>
      <c r="N57" s="283"/>
      <c r="O57" s="283"/>
      <c r="P57" s="284"/>
      <c r="Q57" s="277">
        <v>46149</v>
      </c>
      <c r="R57" s="302" t="s">
        <v>467</v>
      </c>
      <c r="S57" s="277"/>
      <c r="T57" s="282"/>
      <c r="U57" s="279"/>
    </row>
    <row r="58" spans="1:21" x14ac:dyDescent="0.35">
      <c r="A58" s="300"/>
      <c r="B58" s="276" t="s">
        <v>94</v>
      </c>
      <c r="C58" s="277" t="s">
        <v>407</v>
      </c>
      <c r="D58" s="278" t="s">
        <v>408</v>
      </c>
      <c r="E58" s="279" t="s">
        <v>192</v>
      </c>
      <c r="F58" s="280" t="str">
        <f>IF(ISBLANK(VLOOKUP(E58,SETUP!E:F,2,FALSE)),"",IFERROR(VLOOKUP(E58,SETUP!E:F,2,FALSE),""))</f>
        <v>GB305634227</v>
      </c>
      <c r="G58" s="279" t="s">
        <v>409</v>
      </c>
      <c r="H58" s="281">
        <v>29.22</v>
      </c>
      <c r="I58" s="281">
        <v>5.83</v>
      </c>
      <c r="J58" s="301">
        <f t="shared" si="0"/>
        <v>35.049999999999997</v>
      </c>
      <c r="K58" s="279"/>
      <c r="L58" s="282" t="s">
        <v>170</v>
      </c>
      <c r="M58" s="283"/>
      <c r="N58" s="283"/>
      <c r="O58" s="283"/>
      <c r="P58" s="284"/>
      <c r="Q58" s="277">
        <v>46149</v>
      </c>
      <c r="R58" s="302" t="s">
        <v>467</v>
      </c>
      <c r="S58" s="277"/>
      <c r="T58" s="282"/>
      <c r="U58" s="279"/>
    </row>
    <row r="59" spans="1:21" x14ac:dyDescent="0.35">
      <c r="A59" s="300"/>
      <c r="B59" s="276" t="s">
        <v>94</v>
      </c>
      <c r="C59" s="277">
        <v>46140</v>
      </c>
      <c r="D59" s="278" t="s">
        <v>410</v>
      </c>
      <c r="E59" s="279" t="s">
        <v>290</v>
      </c>
      <c r="F59" s="280">
        <v>252345030</v>
      </c>
      <c r="G59" s="279" t="s">
        <v>411</v>
      </c>
      <c r="H59" s="281">
        <v>30.6</v>
      </c>
      <c r="I59" s="281">
        <v>6.12</v>
      </c>
      <c r="J59" s="301">
        <f t="shared" si="0"/>
        <v>36.72</v>
      </c>
      <c r="K59" s="279"/>
      <c r="L59" s="282" t="s">
        <v>170</v>
      </c>
      <c r="M59" s="283"/>
      <c r="N59" s="283"/>
      <c r="O59" s="283"/>
      <c r="P59" s="284"/>
      <c r="Q59" s="277">
        <v>46149</v>
      </c>
      <c r="R59" s="302" t="s">
        <v>469</v>
      </c>
      <c r="S59" s="277"/>
      <c r="T59" s="282"/>
      <c r="U59" s="279"/>
    </row>
    <row r="60" spans="1:21" x14ac:dyDescent="0.35">
      <c r="A60" s="300"/>
      <c r="B60" s="276" t="s">
        <v>94</v>
      </c>
      <c r="C60" s="277">
        <v>46139</v>
      </c>
      <c r="D60" s="278" t="s">
        <v>412</v>
      </c>
      <c r="E60" s="279" t="s">
        <v>413</v>
      </c>
      <c r="F60" s="280">
        <f>IF(ISBLANK(VLOOKUP(E60,SETUP!E:F,2,FALSE)),"",IFERROR(VLOOKUP(E60,SETUP!E:F,2,FALSE),""))</f>
        <v>430357324</v>
      </c>
      <c r="G60" s="279" t="s">
        <v>287</v>
      </c>
      <c r="H60" s="281">
        <v>145.86000000000001</v>
      </c>
      <c r="I60" s="281">
        <v>29.17</v>
      </c>
      <c r="J60" s="301">
        <f t="shared" si="0"/>
        <v>175.03000000000003</v>
      </c>
      <c r="K60" s="279"/>
      <c r="L60" s="282" t="s">
        <v>188</v>
      </c>
      <c r="M60" s="283"/>
      <c r="N60" s="283"/>
      <c r="O60" s="283"/>
      <c r="P60" s="284"/>
      <c r="Q60" s="277">
        <v>46149</v>
      </c>
      <c r="R60" s="302" t="s">
        <v>470</v>
      </c>
      <c r="S60" s="277"/>
      <c r="T60" s="282"/>
      <c r="U60" s="279"/>
    </row>
    <row r="61" spans="1:21" x14ac:dyDescent="0.35">
      <c r="A61" s="300"/>
      <c r="B61" s="276" t="s">
        <v>94</v>
      </c>
      <c r="C61" s="277">
        <v>46149</v>
      </c>
      <c r="D61" s="278" t="s">
        <v>414</v>
      </c>
      <c r="E61" s="279" t="s">
        <v>328</v>
      </c>
      <c r="F61" s="280" t="str">
        <f>IF(ISBLANK(VLOOKUP(E61,SETUP!E:F,2,FALSE)),"",IFERROR(VLOOKUP(E61,SETUP!E:F,2,FALSE),""))</f>
        <v/>
      </c>
      <c r="G61" s="279" t="s">
        <v>415</v>
      </c>
      <c r="H61" s="281">
        <v>9</v>
      </c>
      <c r="I61" s="281">
        <v>0</v>
      </c>
      <c r="J61" s="301">
        <v>9</v>
      </c>
      <c r="K61" s="279"/>
      <c r="L61" s="282" t="s">
        <v>188</v>
      </c>
      <c r="M61" s="283"/>
      <c r="N61" s="283"/>
      <c r="O61" s="283"/>
      <c r="P61" s="284"/>
      <c r="Q61" s="277">
        <v>46149</v>
      </c>
      <c r="R61" s="302" t="s">
        <v>470</v>
      </c>
      <c r="S61" s="277"/>
      <c r="T61" s="282"/>
      <c r="U61" s="279"/>
    </row>
    <row r="62" spans="1:21" x14ac:dyDescent="0.35">
      <c r="A62" s="300"/>
      <c r="B62" s="276" t="s">
        <v>94</v>
      </c>
      <c r="C62" s="277">
        <v>46149</v>
      </c>
      <c r="D62" s="278" t="s">
        <v>416</v>
      </c>
      <c r="E62" s="279" t="s">
        <v>324</v>
      </c>
      <c r="F62" s="280" t="str">
        <f>IF(ISBLANK(VLOOKUP(E62,SETUP!E:F,2,FALSE)),"",IFERROR(VLOOKUP(E62,SETUP!E:F,2,FALSE),""))</f>
        <v/>
      </c>
      <c r="G62" s="279" t="s">
        <v>325</v>
      </c>
      <c r="H62" s="281">
        <v>35</v>
      </c>
      <c r="I62" s="281">
        <v>0</v>
      </c>
      <c r="J62" s="301">
        <v>35</v>
      </c>
      <c r="K62" s="279"/>
      <c r="L62" s="282" t="s">
        <v>169</v>
      </c>
      <c r="M62" s="283"/>
      <c r="N62" s="283"/>
      <c r="O62" s="283"/>
      <c r="P62" s="284"/>
      <c r="Q62" s="277">
        <v>46149</v>
      </c>
      <c r="R62" s="302" t="s">
        <v>470</v>
      </c>
      <c r="S62" s="277"/>
      <c r="T62" s="282"/>
      <c r="U62" s="279"/>
    </row>
    <row r="63" spans="1:21" x14ac:dyDescent="0.35">
      <c r="A63" s="300"/>
      <c r="B63" s="276" t="s">
        <v>94</v>
      </c>
      <c r="C63" s="277">
        <v>46149</v>
      </c>
      <c r="D63" s="278" t="s">
        <v>417</v>
      </c>
      <c r="E63" s="279" t="s">
        <v>249</v>
      </c>
      <c r="F63" s="280">
        <f>IF(ISBLANK(VLOOKUP(E63,SETUP!E:F,2,FALSE)),"",IFERROR(VLOOKUP(E63,SETUP!E:F,2,FALSE),""))</f>
        <v>548248028</v>
      </c>
      <c r="G63" s="279" t="s">
        <v>418</v>
      </c>
      <c r="H63" s="281">
        <v>108</v>
      </c>
      <c r="I63" s="281">
        <v>21.6</v>
      </c>
      <c r="J63" s="301">
        <f t="shared" si="0"/>
        <v>129.6</v>
      </c>
      <c r="K63" s="279"/>
      <c r="L63" s="282" t="s">
        <v>188</v>
      </c>
      <c r="M63" s="283"/>
      <c r="N63" s="283"/>
      <c r="O63" s="283"/>
      <c r="P63" s="284"/>
      <c r="Q63" s="277">
        <v>46149</v>
      </c>
      <c r="R63" s="302" t="s">
        <v>470</v>
      </c>
      <c r="S63" s="277"/>
      <c r="T63" s="282"/>
      <c r="U63" s="279"/>
    </row>
    <row r="64" spans="1:21" x14ac:dyDescent="0.35">
      <c r="A64" s="300"/>
      <c r="B64" s="276" t="s">
        <v>94</v>
      </c>
      <c r="C64" s="277">
        <v>45989</v>
      </c>
      <c r="D64" s="278" t="s">
        <v>419</v>
      </c>
      <c r="E64" s="279" t="s">
        <v>249</v>
      </c>
      <c r="F64" s="280">
        <f>IF(ISBLANK(VLOOKUP(E64,SETUP!E:F,2,FALSE)),"",IFERROR(VLOOKUP(E64,SETUP!E:F,2,FALSE),""))</f>
        <v>548248028</v>
      </c>
      <c r="G64" s="279" t="s">
        <v>420</v>
      </c>
      <c r="H64" s="281">
        <v>108</v>
      </c>
      <c r="I64" s="281">
        <v>21.6</v>
      </c>
      <c r="J64" s="301">
        <f t="shared" si="0"/>
        <v>129.6</v>
      </c>
      <c r="K64" s="279"/>
      <c r="L64" s="282" t="s">
        <v>188</v>
      </c>
      <c r="M64" s="283"/>
      <c r="N64" s="283"/>
      <c r="O64" s="283"/>
      <c r="P64" s="284"/>
      <c r="Q64" s="277">
        <v>46149</v>
      </c>
      <c r="R64" s="302" t="s">
        <v>470</v>
      </c>
      <c r="S64" s="277"/>
      <c r="T64" s="282"/>
      <c r="U64" s="279"/>
    </row>
    <row r="65" spans="1:21" x14ac:dyDescent="0.35">
      <c r="A65" s="300"/>
      <c r="B65" s="276" t="s">
        <v>94</v>
      </c>
      <c r="C65" s="277">
        <v>46149</v>
      </c>
      <c r="D65" s="278" t="s">
        <v>421</v>
      </c>
      <c r="E65" s="279" t="s">
        <v>293</v>
      </c>
      <c r="F65" s="280" t="str">
        <f>IF(ISBLANK(VLOOKUP(E65,SETUP!E:F,2,FALSE)),"",IFERROR(VLOOKUP(E65,SETUP!E:F,2,FALSE),""))</f>
        <v/>
      </c>
      <c r="G65" s="279" t="s">
        <v>294</v>
      </c>
      <c r="H65" s="281">
        <v>400</v>
      </c>
      <c r="I65" s="281">
        <v>0</v>
      </c>
      <c r="J65" s="301">
        <f t="shared" si="0"/>
        <v>400</v>
      </c>
      <c r="K65" s="279"/>
      <c r="L65" s="282" t="s">
        <v>188</v>
      </c>
      <c r="M65" s="283"/>
      <c r="N65" s="283"/>
      <c r="O65" s="283"/>
      <c r="P65" s="284"/>
      <c r="Q65" s="277">
        <v>46149</v>
      </c>
      <c r="R65" s="302" t="s">
        <v>470</v>
      </c>
      <c r="S65" s="277"/>
      <c r="T65" s="282"/>
      <c r="U65" s="279"/>
    </row>
    <row r="66" spans="1:21" x14ac:dyDescent="0.35">
      <c r="A66" s="300"/>
      <c r="B66" s="276" t="s">
        <v>94</v>
      </c>
      <c r="C66" s="277">
        <v>46148</v>
      </c>
      <c r="D66" s="278" t="s">
        <v>422</v>
      </c>
      <c r="E66" s="279" t="s">
        <v>192</v>
      </c>
      <c r="F66" s="280" t="str">
        <f>IF(ISBLANK(VLOOKUP(E66,SETUP!E:F,2,FALSE)),"",IFERROR(VLOOKUP(E66,SETUP!E:F,2,FALSE),""))</f>
        <v>GB305634227</v>
      </c>
      <c r="G66" s="279" t="s">
        <v>423</v>
      </c>
      <c r="H66" s="281">
        <v>5.89</v>
      </c>
      <c r="I66" s="281">
        <v>1.18</v>
      </c>
      <c r="J66" s="301">
        <f t="shared" si="0"/>
        <v>7.0699999999999994</v>
      </c>
      <c r="K66" s="279"/>
      <c r="L66" s="282" t="s">
        <v>188</v>
      </c>
      <c r="M66" s="283"/>
      <c r="N66" s="283"/>
      <c r="O66" s="283"/>
      <c r="P66" s="284"/>
      <c r="Q66" s="277">
        <v>46150</v>
      </c>
      <c r="R66" s="302" t="s">
        <v>467</v>
      </c>
      <c r="S66" s="277"/>
      <c r="T66" s="282"/>
      <c r="U66" s="279"/>
    </row>
    <row r="67" spans="1:21" x14ac:dyDescent="0.35">
      <c r="A67" s="300"/>
      <c r="B67" s="276" t="s">
        <v>94</v>
      </c>
      <c r="C67" s="277">
        <v>46149</v>
      </c>
      <c r="D67" s="278" t="s">
        <v>424</v>
      </c>
      <c r="E67" s="279" t="s">
        <v>192</v>
      </c>
      <c r="F67" s="280" t="str">
        <f>IF(ISBLANK(VLOOKUP(E67,SETUP!E:F,2,FALSE)),"",IFERROR(VLOOKUP(E67,SETUP!E:F,2,FALSE),""))</f>
        <v>GB305634227</v>
      </c>
      <c r="G67" s="279" t="s">
        <v>425</v>
      </c>
      <c r="H67" s="281">
        <v>20.92</v>
      </c>
      <c r="I67" s="281">
        <v>4.1500000000000004</v>
      </c>
      <c r="J67" s="301">
        <f t="shared" si="0"/>
        <v>25.07</v>
      </c>
      <c r="K67" s="279"/>
      <c r="L67" s="282" t="s">
        <v>188</v>
      </c>
      <c r="M67" s="283"/>
      <c r="N67" s="283"/>
      <c r="O67" s="283"/>
      <c r="P67" s="284"/>
      <c r="Q67" s="277">
        <v>46151</v>
      </c>
      <c r="R67" s="302" t="s">
        <v>472</v>
      </c>
      <c r="S67" s="277"/>
      <c r="T67" s="282"/>
      <c r="U67" s="279"/>
    </row>
    <row r="68" spans="1:21" x14ac:dyDescent="0.35">
      <c r="A68" s="300"/>
      <c r="B68" s="276" t="s">
        <v>94</v>
      </c>
      <c r="C68" s="277">
        <v>46138</v>
      </c>
      <c r="D68" s="278" t="s">
        <v>426</v>
      </c>
      <c r="E68" s="279" t="s">
        <v>243</v>
      </c>
      <c r="F68" s="280">
        <f>IF(ISBLANK(VLOOKUP(E68,SETUP!E:F,2,FALSE)),"",IFERROR(VLOOKUP(E68,SETUP!E:F,2,FALSE),""))</f>
        <v>684966762</v>
      </c>
      <c r="G68" s="279" t="s">
        <v>427</v>
      </c>
      <c r="H68" s="281">
        <v>110.02</v>
      </c>
      <c r="I68" s="281">
        <v>5.5</v>
      </c>
      <c r="J68" s="301">
        <f t="shared" si="0"/>
        <v>115.52</v>
      </c>
      <c r="K68" s="279"/>
      <c r="L68" s="282" t="s">
        <v>180</v>
      </c>
      <c r="M68" s="283"/>
      <c r="N68" s="283"/>
      <c r="O68" s="283"/>
      <c r="P68" s="284"/>
      <c r="Q68" s="277">
        <v>46153</v>
      </c>
      <c r="R68" s="302" t="s">
        <v>469</v>
      </c>
      <c r="S68" s="277"/>
      <c r="T68" s="282"/>
      <c r="U68" s="279"/>
    </row>
    <row r="69" spans="1:21" x14ac:dyDescent="0.35">
      <c r="A69" s="300"/>
      <c r="B69" s="276" t="s">
        <v>94</v>
      </c>
      <c r="C69" s="277">
        <v>46139</v>
      </c>
      <c r="D69" s="278" t="s">
        <v>428</v>
      </c>
      <c r="E69" s="279" t="s">
        <v>243</v>
      </c>
      <c r="F69" s="280">
        <f>IF(ISBLANK(VLOOKUP(E69,SETUP!E:F,2,FALSE)),"",IFERROR(VLOOKUP(E69,SETUP!E:F,2,FALSE),""))</f>
        <v>684966762</v>
      </c>
      <c r="G69" s="279" t="s">
        <v>429</v>
      </c>
      <c r="H69" s="281">
        <v>65.989999999999995</v>
      </c>
      <c r="I69" s="281">
        <v>3.3</v>
      </c>
      <c r="J69" s="301">
        <f t="shared" si="0"/>
        <v>69.289999999999992</v>
      </c>
      <c r="K69" s="279"/>
      <c r="L69" s="282" t="s">
        <v>180</v>
      </c>
      <c r="M69" s="283"/>
      <c r="N69" s="283"/>
      <c r="O69" s="283"/>
      <c r="P69" s="284"/>
      <c r="Q69" s="277">
        <v>46153</v>
      </c>
      <c r="R69" s="302" t="s">
        <v>469</v>
      </c>
      <c r="S69" s="277"/>
      <c r="T69" s="282"/>
      <c r="U69" s="279"/>
    </row>
    <row r="70" spans="1:21" x14ac:dyDescent="0.35">
      <c r="A70" s="300"/>
      <c r="B70" s="276" t="s">
        <v>94</v>
      </c>
      <c r="C70" s="277">
        <v>46137</v>
      </c>
      <c r="D70" s="278" t="s">
        <v>430</v>
      </c>
      <c r="E70" s="279" t="s">
        <v>242</v>
      </c>
      <c r="F70" s="280">
        <f>IF(ISBLANK(VLOOKUP(E70,SETUP!E:F,2,FALSE)),"",IFERROR(VLOOKUP(E70,SETUP!E:F,2,FALSE),""))</f>
        <v>2457193048</v>
      </c>
      <c r="G70" s="285">
        <v>46113</v>
      </c>
      <c r="H70" s="281">
        <v>61.12</v>
      </c>
      <c r="I70" s="281">
        <v>12.22</v>
      </c>
      <c r="J70" s="301">
        <f t="shared" si="0"/>
        <v>73.34</v>
      </c>
      <c r="K70" s="279"/>
      <c r="L70" s="282" t="s">
        <v>180</v>
      </c>
      <c r="M70" s="283"/>
      <c r="N70" s="283"/>
      <c r="O70" s="283"/>
      <c r="P70" s="284"/>
      <c r="Q70" s="277">
        <v>46153</v>
      </c>
      <c r="R70" s="302" t="s">
        <v>469</v>
      </c>
      <c r="S70" s="277"/>
      <c r="T70" s="282"/>
      <c r="U70" s="279"/>
    </row>
    <row r="71" spans="1:21" x14ac:dyDescent="0.35">
      <c r="A71" s="300"/>
      <c r="B71" s="276" t="s">
        <v>94</v>
      </c>
      <c r="C71" s="277">
        <v>46113</v>
      </c>
      <c r="D71" s="278" t="s">
        <v>431</v>
      </c>
      <c r="E71" s="279" t="s">
        <v>432</v>
      </c>
      <c r="F71" s="280" t="str">
        <f>IF(ISBLANK(VLOOKUP(E71,SETUP!E:F,2,FALSE)),"",IFERROR(VLOOKUP(E71,SETUP!E:F,2,FALSE),""))</f>
        <v/>
      </c>
      <c r="G71" s="279" t="s">
        <v>433</v>
      </c>
      <c r="H71" s="281">
        <v>15</v>
      </c>
      <c r="I71" s="281">
        <v>0</v>
      </c>
      <c r="J71" s="301">
        <v>15</v>
      </c>
      <c r="K71" s="279"/>
      <c r="L71" s="282" t="s">
        <v>169</v>
      </c>
      <c r="M71" s="283"/>
      <c r="N71" s="283"/>
      <c r="O71" s="283"/>
      <c r="P71" s="284"/>
      <c r="Q71" s="277">
        <v>46156</v>
      </c>
      <c r="R71" s="302" t="s">
        <v>470</v>
      </c>
      <c r="S71" s="277"/>
      <c r="T71" s="282"/>
      <c r="U71" s="279"/>
    </row>
    <row r="72" spans="1:21" x14ac:dyDescent="0.35">
      <c r="A72" s="300"/>
      <c r="B72" s="276" t="s">
        <v>94</v>
      </c>
      <c r="C72" s="277">
        <v>46156</v>
      </c>
      <c r="D72" s="278"/>
      <c r="E72" s="279" t="s">
        <v>328</v>
      </c>
      <c r="F72" s="280" t="str">
        <f>IF(ISBLANK(VLOOKUP(E72,SETUP!E:F,2,FALSE)),"",IFERROR(VLOOKUP(E72,SETUP!E:F,2,FALSE),""))</f>
        <v/>
      </c>
      <c r="G72" s="279" t="s">
        <v>434</v>
      </c>
      <c r="H72" s="281">
        <v>15</v>
      </c>
      <c r="I72" s="281">
        <v>0</v>
      </c>
      <c r="J72" s="301">
        <v>15</v>
      </c>
      <c r="K72" s="279"/>
      <c r="L72" s="282" t="s">
        <v>188</v>
      </c>
      <c r="M72" s="283"/>
      <c r="N72" s="283"/>
      <c r="O72" s="283"/>
      <c r="P72" s="284"/>
      <c r="Q72" s="277">
        <v>46156</v>
      </c>
      <c r="R72" s="302" t="s">
        <v>470</v>
      </c>
      <c r="S72" s="277"/>
      <c r="T72" s="282"/>
      <c r="U72" s="279"/>
    </row>
    <row r="73" spans="1:21" x14ac:dyDescent="0.35">
      <c r="A73" s="300"/>
      <c r="B73" s="276" t="s">
        <v>94</v>
      </c>
      <c r="C73" s="277">
        <v>46155</v>
      </c>
      <c r="D73" s="278" t="s">
        <v>435</v>
      </c>
      <c r="E73" s="279" t="s">
        <v>192</v>
      </c>
      <c r="F73" s="280" t="str">
        <f>IF(ISBLANK(VLOOKUP(E73,SETUP!E:F,2,FALSE)),"",IFERROR(VLOOKUP(E73,SETUP!E:F,2,FALSE),""))</f>
        <v>GB305634227</v>
      </c>
      <c r="G73" s="279" t="s">
        <v>436</v>
      </c>
      <c r="H73" s="281">
        <v>9.26</v>
      </c>
      <c r="I73" s="281">
        <v>1.85</v>
      </c>
      <c r="J73" s="301">
        <f t="shared" si="0"/>
        <v>11.11</v>
      </c>
      <c r="K73" s="279"/>
      <c r="L73" s="282" t="s">
        <v>188</v>
      </c>
      <c r="M73" s="283"/>
      <c r="N73" s="283"/>
      <c r="O73" s="283"/>
      <c r="P73" s="284"/>
      <c r="Q73" s="277">
        <v>46157</v>
      </c>
      <c r="R73" s="302" t="s">
        <v>467</v>
      </c>
      <c r="S73" s="277"/>
      <c r="T73" s="282"/>
      <c r="U73" s="279"/>
    </row>
    <row r="74" spans="1:21" x14ac:dyDescent="0.35">
      <c r="A74" s="300"/>
      <c r="B74" s="276" t="s">
        <v>94</v>
      </c>
      <c r="C74" s="277">
        <v>46155</v>
      </c>
      <c r="D74" s="278" t="s">
        <v>437</v>
      </c>
      <c r="E74" s="279" t="s">
        <v>192</v>
      </c>
      <c r="F74" s="280" t="str">
        <f>IF(ISBLANK(VLOOKUP(E74,SETUP!E:F,2,FALSE)),"",IFERROR(VLOOKUP(E74,SETUP!E:F,2,FALSE),""))</f>
        <v>GB305634227</v>
      </c>
      <c r="G74" s="279" t="s">
        <v>438</v>
      </c>
      <c r="H74" s="281">
        <v>9.16</v>
      </c>
      <c r="I74" s="281">
        <v>1.83</v>
      </c>
      <c r="J74" s="301">
        <f t="shared" si="0"/>
        <v>10.99</v>
      </c>
      <c r="K74" s="279"/>
      <c r="L74" s="282" t="s">
        <v>170</v>
      </c>
      <c r="M74" s="283"/>
      <c r="N74" s="283"/>
      <c r="O74" s="283"/>
      <c r="P74" s="284"/>
      <c r="Q74" s="277">
        <v>46157</v>
      </c>
      <c r="R74" s="302" t="s">
        <v>467</v>
      </c>
      <c r="S74" s="277"/>
      <c r="T74" s="282"/>
      <c r="U74" s="279"/>
    </row>
    <row r="75" spans="1:21" x14ac:dyDescent="0.35">
      <c r="A75" s="300"/>
      <c r="B75" s="276" t="s">
        <v>94</v>
      </c>
      <c r="C75" s="277">
        <v>46156</v>
      </c>
      <c r="D75" s="278" t="s">
        <v>439</v>
      </c>
      <c r="E75" s="279" t="s">
        <v>192</v>
      </c>
      <c r="F75" s="280" t="s">
        <v>440</v>
      </c>
      <c r="G75" s="279" t="s">
        <v>436</v>
      </c>
      <c r="H75" s="281">
        <v>22.48</v>
      </c>
      <c r="I75" s="281">
        <v>4.5</v>
      </c>
      <c r="J75" s="301">
        <f t="shared" si="0"/>
        <v>26.98</v>
      </c>
      <c r="K75" s="279"/>
      <c r="L75" s="282" t="s">
        <v>188</v>
      </c>
      <c r="M75" s="283"/>
      <c r="N75" s="283"/>
      <c r="O75" s="283"/>
      <c r="P75" s="284"/>
      <c r="Q75" s="277">
        <v>46157</v>
      </c>
      <c r="R75" s="302" t="s">
        <v>467</v>
      </c>
      <c r="S75" s="277"/>
      <c r="T75" s="282"/>
      <c r="U75" s="279"/>
    </row>
    <row r="76" spans="1:21" x14ac:dyDescent="0.35">
      <c r="A76" s="300"/>
      <c r="B76" s="276" t="s">
        <v>94</v>
      </c>
      <c r="C76" s="277">
        <v>46157</v>
      </c>
      <c r="D76" s="278" t="s">
        <v>441</v>
      </c>
      <c r="E76" s="279" t="s">
        <v>192</v>
      </c>
      <c r="F76" s="280" t="str">
        <f>IF(ISBLANK(VLOOKUP(E76,SETUP!E:F,2,FALSE)),"",IFERROR(VLOOKUP(E76,SETUP!E:F,2,FALSE),""))</f>
        <v>GB305634227</v>
      </c>
      <c r="G76" s="279" t="s">
        <v>442</v>
      </c>
      <c r="H76" s="281">
        <v>7.99</v>
      </c>
      <c r="I76" s="281">
        <v>1.6</v>
      </c>
      <c r="J76" s="301">
        <f t="shared" si="0"/>
        <v>9.59</v>
      </c>
      <c r="K76" s="279"/>
      <c r="L76" s="282" t="s">
        <v>170</v>
      </c>
      <c r="M76" s="283"/>
      <c r="N76" s="283"/>
      <c r="O76" s="283"/>
      <c r="P76" s="284"/>
      <c r="Q76" s="277">
        <v>46158</v>
      </c>
      <c r="R76" s="302" t="s">
        <v>467</v>
      </c>
      <c r="S76" s="277"/>
      <c r="T76" s="282"/>
      <c r="U76" s="279"/>
    </row>
    <row r="77" spans="1:21" x14ac:dyDescent="0.35">
      <c r="A77" s="300"/>
      <c r="B77" s="276" t="s">
        <v>94</v>
      </c>
      <c r="C77" s="277">
        <v>46158</v>
      </c>
      <c r="D77" s="278"/>
      <c r="E77" s="279" t="s">
        <v>71</v>
      </c>
      <c r="F77" s="280" t="str">
        <f>IF(ISBLANK(VLOOKUP(E77,SETUP!E:F,2,FALSE)),"",IFERROR(VLOOKUP(E77,SETUP!E:F,2,FALSE),""))</f>
        <v/>
      </c>
      <c r="G77" s="279" t="s">
        <v>443</v>
      </c>
      <c r="H77" s="281">
        <v>51.2</v>
      </c>
      <c r="I77" s="281">
        <v>0</v>
      </c>
      <c r="J77" s="301">
        <v>51.2</v>
      </c>
      <c r="K77" s="279"/>
      <c r="L77" s="282" t="s">
        <v>115</v>
      </c>
      <c r="M77" s="283"/>
      <c r="N77" s="283"/>
      <c r="O77" s="283"/>
      <c r="P77" s="284"/>
      <c r="Q77" s="277">
        <v>46158</v>
      </c>
      <c r="R77" s="302" t="s">
        <v>471</v>
      </c>
      <c r="S77" s="277"/>
      <c r="T77" s="282"/>
      <c r="U77" s="279"/>
    </row>
    <row r="78" spans="1:21" s="286" customFormat="1" x14ac:dyDescent="0.35">
      <c r="A78" s="300"/>
      <c r="B78" s="276" t="s">
        <v>154</v>
      </c>
      <c r="C78" s="277">
        <v>46167</v>
      </c>
      <c r="D78" s="278" t="s">
        <v>400</v>
      </c>
      <c r="E78" s="279" t="s">
        <v>327</v>
      </c>
      <c r="F78" s="280" t="str">
        <f>IF(ISBLANK(VLOOKUP(E78,SETUP!E:F,2,FALSE)),"",IFERROR(VLOOKUP(E78,SETUP!E:F,2,FALSE),""))</f>
        <v/>
      </c>
      <c r="G78" s="279" t="s">
        <v>444</v>
      </c>
      <c r="H78" s="281">
        <v>541.37</v>
      </c>
      <c r="I78" s="281">
        <v>0</v>
      </c>
      <c r="J78" s="301">
        <f t="shared" ref="J78:J113" si="4">IF(AND(ISBLANK(H78),ISBLANK(I78)),"",SUM(H78:I78))</f>
        <v>541.37</v>
      </c>
      <c r="K78" s="279"/>
      <c r="L78" s="282" t="s">
        <v>190</v>
      </c>
      <c r="M78" s="283"/>
      <c r="N78" s="283"/>
      <c r="O78" s="283"/>
      <c r="P78" s="284"/>
      <c r="Q78" s="277">
        <v>46167</v>
      </c>
      <c r="R78" s="302" t="s">
        <v>470</v>
      </c>
      <c r="S78" s="277"/>
      <c r="T78" s="282"/>
      <c r="U78" s="279"/>
    </row>
    <row r="79" spans="1:21" s="286" customFormat="1" x14ac:dyDescent="0.35">
      <c r="A79" s="300"/>
      <c r="B79" s="276" t="s">
        <v>154</v>
      </c>
      <c r="C79" s="277">
        <v>46167</v>
      </c>
      <c r="D79" s="278" t="s">
        <v>400</v>
      </c>
      <c r="E79" s="279" t="s">
        <v>328</v>
      </c>
      <c r="F79" s="280" t="str">
        <f>IF(ISBLANK(VLOOKUP(E79,SETUP!E:F,2,FALSE)),"",IFERROR(VLOOKUP(E79,SETUP!E:F,2,FALSE),""))</f>
        <v/>
      </c>
      <c r="G79" s="279" t="s">
        <v>444</v>
      </c>
      <c r="H79" s="281">
        <v>629.32000000000005</v>
      </c>
      <c r="I79" s="281">
        <v>0</v>
      </c>
      <c r="J79" s="301">
        <f t="shared" si="4"/>
        <v>629.32000000000005</v>
      </c>
      <c r="K79" s="279"/>
      <c r="L79" s="282" t="s">
        <v>189</v>
      </c>
      <c r="M79" s="283"/>
      <c r="N79" s="283"/>
      <c r="O79" s="283"/>
      <c r="P79" s="284"/>
      <c r="Q79" s="277">
        <v>46167</v>
      </c>
      <c r="R79" s="302" t="s">
        <v>470</v>
      </c>
      <c r="S79" s="277"/>
      <c r="T79" s="282"/>
      <c r="U79" s="279"/>
    </row>
    <row r="80" spans="1:21" s="286" customFormat="1" x14ac:dyDescent="0.35">
      <c r="A80" s="300"/>
      <c r="B80" s="276" t="s">
        <v>154</v>
      </c>
      <c r="C80" s="277">
        <v>46167</v>
      </c>
      <c r="D80" s="278" t="s">
        <v>400</v>
      </c>
      <c r="E80" s="279" t="s">
        <v>329</v>
      </c>
      <c r="F80" s="280" t="str">
        <f>IF(ISBLANK(VLOOKUP(E80,SETUP!E:F,2,FALSE)),"",IFERROR(VLOOKUP(E80,SETUP!E:F,2,FALSE),""))</f>
        <v/>
      </c>
      <c r="G80" s="279" t="s">
        <v>444</v>
      </c>
      <c r="H80" s="281">
        <v>1248.26</v>
      </c>
      <c r="I80" s="281">
        <v>0</v>
      </c>
      <c r="J80" s="301">
        <f t="shared" si="4"/>
        <v>1248.26</v>
      </c>
      <c r="K80" s="279"/>
      <c r="L80" s="282" t="s">
        <v>247</v>
      </c>
      <c r="M80" s="283"/>
      <c r="N80" s="283"/>
      <c r="O80" s="283"/>
      <c r="P80" s="284"/>
      <c r="Q80" s="277">
        <v>46167</v>
      </c>
      <c r="R80" s="302" t="s">
        <v>470</v>
      </c>
      <c r="S80" s="277"/>
      <c r="T80" s="282"/>
      <c r="U80" s="279"/>
    </row>
    <row r="81" spans="1:21" s="286" customFormat="1" x14ac:dyDescent="0.35">
      <c r="A81" s="300"/>
      <c r="B81" s="276" t="s">
        <v>154</v>
      </c>
      <c r="C81" s="277">
        <v>46167</v>
      </c>
      <c r="D81" s="278" t="s">
        <v>400</v>
      </c>
      <c r="E81" s="279" t="s">
        <v>330</v>
      </c>
      <c r="F81" s="280" t="str">
        <f>IF(ISBLANK(VLOOKUP(E81,SETUP!E:F,2,FALSE)),"",IFERROR(VLOOKUP(E81,SETUP!E:F,2,FALSE),""))</f>
        <v/>
      </c>
      <c r="G81" s="279" t="s">
        <v>444</v>
      </c>
      <c r="H81" s="281">
        <v>2493.9499999999998</v>
      </c>
      <c r="I81" s="281">
        <v>0</v>
      </c>
      <c r="J81" s="301">
        <f t="shared" si="4"/>
        <v>2493.9499999999998</v>
      </c>
      <c r="K81" s="279"/>
      <c r="L81" s="282" t="s">
        <v>164</v>
      </c>
      <c r="M81" s="283"/>
      <c r="N81" s="283"/>
      <c r="O81" s="283"/>
      <c r="P81" s="284"/>
      <c r="Q81" s="277">
        <v>46167</v>
      </c>
      <c r="R81" s="302" t="s">
        <v>470</v>
      </c>
      <c r="S81" s="277"/>
      <c r="T81" s="282"/>
      <c r="U81" s="279"/>
    </row>
    <row r="82" spans="1:21" s="286" customFormat="1" x14ac:dyDescent="0.35">
      <c r="A82" s="300"/>
      <c r="B82" s="276" t="s">
        <v>154</v>
      </c>
      <c r="C82" s="277">
        <v>46167</v>
      </c>
      <c r="D82" s="278" t="s">
        <v>400</v>
      </c>
      <c r="E82" s="279" t="s">
        <v>331</v>
      </c>
      <c r="F82" s="280" t="str">
        <f>IF(ISBLANK(VLOOKUP(E82,SETUP!E:F,2,FALSE)),"",IFERROR(VLOOKUP(E82,SETUP!E:F,2,FALSE),""))</f>
        <v/>
      </c>
      <c r="G82" s="279" t="s">
        <v>444</v>
      </c>
      <c r="H82" s="281">
        <v>1256.28</v>
      </c>
      <c r="I82" s="281">
        <v>0</v>
      </c>
      <c r="J82" s="301">
        <f t="shared" si="4"/>
        <v>1256.28</v>
      </c>
      <c r="K82" s="279"/>
      <c r="L82" s="282" t="s">
        <v>165</v>
      </c>
      <c r="M82" s="283"/>
      <c r="N82" s="283"/>
      <c r="O82" s="283"/>
      <c r="P82" s="284"/>
      <c r="Q82" s="277">
        <v>46167</v>
      </c>
      <c r="R82" s="302" t="s">
        <v>470</v>
      </c>
      <c r="S82" s="277"/>
      <c r="T82" s="282"/>
      <c r="U82" s="279"/>
    </row>
    <row r="83" spans="1:21" s="286" customFormat="1" x14ac:dyDescent="0.35">
      <c r="A83" s="300"/>
      <c r="B83" s="276" t="s">
        <v>154</v>
      </c>
      <c r="C83" s="277">
        <v>46167</v>
      </c>
      <c r="D83" s="278" t="s">
        <v>400</v>
      </c>
      <c r="E83" s="279" t="s">
        <v>332</v>
      </c>
      <c r="F83" s="280" t="str">
        <f>IF(ISBLANK(VLOOKUP(E83,SETUP!E:F,2,FALSE)),"",IFERROR(VLOOKUP(E83,SETUP!E:F,2,FALSE),""))</f>
        <v/>
      </c>
      <c r="G83" s="279" t="s">
        <v>444</v>
      </c>
      <c r="H83" s="281">
        <v>1349.42</v>
      </c>
      <c r="I83" s="281">
        <v>0</v>
      </c>
      <c r="J83" s="301">
        <v>1349.42</v>
      </c>
      <c r="K83" s="279"/>
      <c r="L83" s="282" t="s">
        <v>166</v>
      </c>
      <c r="M83" s="283"/>
      <c r="N83" s="283"/>
      <c r="O83" s="283"/>
      <c r="P83" s="284"/>
      <c r="Q83" s="277">
        <v>46167</v>
      </c>
      <c r="R83" s="302" t="s">
        <v>470</v>
      </c>
      <c r="S83" s="277"/>
      <c r="T83" s="282"/>
      <c r="U83" s="279"/>
    </row>
    <row r="84" spans="1:21" s="286" customFormat="1" x14ac:dyDescent="0.35">
      <c r="A84" s="300"/>
      <c r="B84" s="276" t="s">
        <v>154</v>
      </c>
      <c r="C84" s="277">
        <v>46158</v>
      </c>
      <c r="D84" s="278" t="s">
        <v>400</v>
      </c>
      <c r="E84" s="279" t="s">
        <v>71</v>
      </c>
      <c r="F84" s="280" t="str">
        <f>IF(ISBLANK(VLOOKUP(E84,SETUP!E:F,2,FALSE)),"",IFERROR(VLOOKUP(E84,SETUP!E:F,2,FALSE),""))</f>
        <v/>
      </c>
      <c r="G84" s="279" t="s">
        <v>115</v>
      </c>
      <c r="H84" s="281">
        <v>3</v>
      </c>
      <c r="I84" s="281">
        <v>0</v>
      </c>
      <c r="J84" s="301">
        <f t="shared" si="4"/>
        <v>3</v>
      </c>
      <c r="K84" s="279"/>
      <c r="L84" s="282" t="s">
        <v>115</v>
      </c>
      <c r="M84" s="283"/>
      <c r="N84" s="283"/>
      <c r="O84" s="283"/>
      <c r="P84" s="284"/>
      <c r="Q84" s="277">
        <v>46158</v>
      </c>
      <c r="R84" s="302" t="s">
        <v>471</v>
      </c>
      <c r="S84" s="277"/>
      <c r="T84" s="282"/>
      <c r="U84" s="279"/>
    </row>
    <row r="85" spans="1:21" x14ac:dyDescent="0.35">
      <c r="B85" s="276" t="s">
        <v>94</v>
      </c>
      <c r="C85" s="277">
        <v>46142</v>
      </c>
      <c r="D85" s="278" t="s">
        <v>445</v>
      </c>
      <c r="E85" s="279" t="s">
        <v>319</v>
      </c>
      <c r="F85" s="280"/>
      <c r="G85" s="279" t="s">
        <v>446</v>
      </c>
      <c r="H85" s="281">
        <v>1506.5</v>
      </c>
      <c r="I85" s="281">
        <v>301.3</v>
      </c>
      <c r="J85" s="301">
        <f t="shared" si="4"/>
        <v>1807.8</v>
      </c>
      <c r="K85" s="279"/>
      <c r="L85" s="282" t="s">
        <v>188</v>
      </c>
      <c r="M85" s="283"/>
      <c r="N85" s="283"/>
      <c r="O85" s="283"/>
      <c r="P85" s="284"/>
      <c r="Q85" s="277">
        <v>46160</v>
      </c>
      <c r="R85" s="302" t="s">
        <v>470</v>
      </c>
      <c r="S85" s="277"/>
      <c r="T85" s="282"/>
      <c r="U85" s="279"/>
    </row>
    <row r="86" spans="1:21" x14ac:dyDescent="0.35">
      <c r="B86" s="276" t="s">
        <v>94</v>
      </c>
      <c r="C86" s="277">
        <v>46142</v>
      </c>
      <c r="D86" s="278" t="s">
        <v>447</v>
      </c>
      <c r="E86" s="279" t="s">
        <v>248</v>
      </c>
      <c r="F86" s="280"/>
      <c r="G86" s="279" t="s">
        <v>380</v>
      </c>
      <c r="H86" s="281">
        <v>113.5</v>
      </c>
      <c r="I86" s="281">
        <v>22.7</v>
      </c>
      <c r="J86" s="301">
        <f t="shared" si="4"/>
        <v>136.19999999999999</v>
      </c>
      <c r="K86" s="279"/>
      <c r="L86" s="282" t="s">
        <v>178</v>
      </c>
      <c r="M86" s="283"/>
      <c r="N86" s="283"/>
      <c r="O86" s="283"/>
      <c r="P86" s="284"/>
      <c r="Q86" s="277">
        <v>46160</v>
      </c>
      <c r="R86" s="302" t="s">
        <v>470</v>
      </c>
      <c r="S86" s="277"/>
      <c r="T86" s="282"/>
      <c r="U86" s="279"/>
    </row>
    <row r="87" spans="1:21" x14ac:dyDescent="0.35">
      <c r="B87" s="276" t="s">
        <v>94</v>
      </c>
      <c r="C87" s="277">
        <v>46158</v>
      </c>
      <c r="D87" s="278" t="s">
        <v>449</v>
      </c>
      <c r="E87" s="279" t="s">
        <v>192</v>
      </c>
      <c r="F87" s="280" t="s">
        <v>271</v>
      </c>
      <c r="G87" s="279" t="s">
        <v>450</v>
      </c>
      <c r="H87" s="281">
        <v>63.12</v>
      </c>
      <c r="I87" s="281">
        <v>12.63</v>
      </c>
      <c r="J87" s="287">
        <f t="shared" si="4"/>
        <v>75.75</v>
      </c>
      <c r="K87" s="279"/>
      <c r="L87" s="282" t="s">
        <v>170</v>
      </c>
      <c r="M87" s="283"/>
      <c r="N87" s="283"/>
      <c r="O87" s="283"/>
      <c r="P87" s="284"/>
      <c r="Q87" s="277">
        <v>46161</v>
      </c>
      <c r="R87" s="302" t="s">
        <v>467</v>
      </c>
      <c r="S87" s="277"/>
      <c r="T87" s="282"/>
      <c r="U87" s="279"/>
    </row>
    <row r="88" spans="1:21" x14ac:dyDescent="0.35">
      <c r="B88" s="276" t="s">
        <v>94</v>
      </c>
      <c r="C88" s="277">
        <v>46160</v>
      </c>
      <c r="D88" s="278" t="s">
        <v>451</v>
      </c>
      <c r="E88" s="279" t="s">
        <v>192</v>
      </c>
      <c r="F88" s="280" t="s">
        <v>271</v>
      </c>
      <c r="G88" s="279" t="s">
        <v>452</v>
      </c>
      <c r="H88" s="281">
        <v>5.82</v>
      </c>
      <c r="I88" s="281">
        <v>1.1599999999999999</v>
      </c>
      <c r="J88" s="287">
        <f t="shared" si="4"/>
        <v>6.98</v>
      </c>
      <c r="K88" s="279"/>
      <c r="L88" s="282" t="s">
        <v>170</v>
      </c>
      <c r="M88" s="283"/>
      <c r="N88" s="283"/>
      <c r="O88" s="283"/>
      <c r="P88" s="284"/>
      <c r="Q88" s="277">
        <v>46161</v>
      </c>
      <c r="R88" s="302" t="s">
        <v>467</v>
      </c>
      <c r="S88" s="277"/>
      <c r="T88" s="282"/>
      <c r="U88" s="279"/>
    </row>
    <row r="89" spans="1:21" x14ac:dyDescent="0.35">
      <c r="B89" s="276" t="s">
        <v>94</v>
      </c>
      <c r="C89" s="277">
        <v>46160</v>
      </c>
      <c r="D89" s="278"/>
      <c r="E89" s="279" t="s">
        <v>453</v>
      </c>
      <c r="F89" s="280"/>
      <c r="G89" s="279" t="s">
        <v>454</v>
      </c>
      <c r="H89" s="281">
        <v>500</v>
      </c>
      <c r="I89" s="281">
        <v>0</v>
      </c>
      <c r="J89" s="301">
        <v>500</v>
      </c>
      <c r="K89" s="279"/>
      <c r="L89" s="282" t="s">
        <v>89</v>
      </c>
      <c r="M89" s="283"/>
      <c r="N89" s="283"/>
      <c r="O89" s="283"/>
      <c r="P89" s="284"/>
      <c r="Q89" s="277">
        <v>46162</v>
      </c>
      <c r="R89" s="302" t="s">
        <v>473</v>
      </c>
      <c r="S89" s="277">
        <v>46160</v>
      </c>
      <c r="T89" s="282">
        <v>7.6</v>
      </c>
      <c r="U89" s="279" t="s">
        <v>475</v>
      </c>
    </row>
    <row r="90" spans="1:21" x14ac:dyDescent="0.35">
      <c r="B90" s="276" t="s">
        <v>94</v>
      </c>
      <c r="C90" s="277">
        <v>46162</v>
      </c>
      <c r="D90" s="278"/>
      <c r="E90" s="279" t="s">
        <v>374</v>
      </c>
      <c r="F90" s="280"/>
      <c r="G90" s="279" t="s">
        <v>295</v>
      </c>
      <c r="H90" s="281">
        <v>3.45</v>
      </c>
      <c r="I90" s="281">
        <v>0</v>
      </c>
      <c r="J90" s="287">
        <v>3.45</v>
      </c>
      <c r="K90" s="279"/>
      <c r="L90" s="282" t="s">
        <v>24</v>
      </c>
      <c r="M90" s="283"/>
      <c r="N90" s="283"/>
      <c r="O90" s="283"/>
      <c r="P90" s="284"/>
      <c r="Q90" s="277">
        <v>46162</v>
      </c>
      <c r="R90" s="302" t="s">
        <v>470</v>
      </c>
      <c r="S90" s="277"/>
      <c r="T90" s="282"/>
      <c r="U90" s="279"/>
    </row>
    <row r="91" spans="1:21" x14ac:dyDescent="0.35">
      <c r="B91" s="276" t="s">
        <v>94</v>
      </c>
      <c r="C91" s="277">
        <v>46162</v>
      </c>
      <c r="D91" s="278"/>
      <c r="E91" s="279" t="s">
        <v>317</v>
      </c>
      <c r="F91" s="280"/>
      <c r="G91" s="279" t="s">
        <v>455</v>
      </c>
      <c r="H91" s="281">
        <v>15.49</v>
      </c>
      <c r="I91" s="281">
        <v>0</v>
      </c>
      <c r="J91" s="287">
        <v>15.49</v>
      </c>
      <c r="K91" s="279"/>
      <c r="L91" s="282" t="s">
        <v>24</v>
      </c>
      <c r="M91" s="283"/>
      <c r="N91" s="283"/>
      <c r="O91" s="283"/>
      <c r="P91" s="284"/>
      <c r="Q91" s="277">
        <v>46162</v>
      </c>
      <c r="R91" s="302" t="s">
        <v>470</v>
      </c>
      <c r="S91" s="277"/>
      <c r="T91" s="282"/>
      <c r="U91" s="279"/>
    </row>
    <row r="92" spans="1:21" x14ac:dyDescent="0.35">
      <c r="B92" s="276" t="s">
        <v>94</v>
      </c>
      <c r="C92" s="277">
        <v>46162</v>
      </c>
      <c r="D92" s="278"/>
      <c r="E92" s="279" t="s">
        <v>296</v>
      </c>
      <c r="F92" s="280"/>
      <c r="G92" s="279" t="s">
        <v>295</v>
      </c>
      <c r="H92" s="281">
        <v>13.13</v>
      </c>
      <c r="I92" s="281">
        <v>0</v>
      </c>
      <c r="J92" s="287">
        <v>13.13</v>
      </c>
      <c r="K92" s="279"/>
      <c r="L92" s="282" t="s">
        <v>24</v>
      </c>
      <c r="M92" s="283"/>
      <c r="N92" s="283"/>
      <c r="O92" s="283"/>
      <c r="P92" s="284"/>
      <c r="Q92" s="277">
        <v>46162</v>
      </c>
      <c r="R92" s="302" t="s">
        <v>470</v>
      </c>
      <c r="S92" s="277"/>
      <c r="T92" s="282"/>
      <c r="U92" s="279"/>
    </row>
    <row r="93" spans="1:21" x14ac:dyDescent="0.35">
      <c r="B93" s="276" t="s">
        <v>94</v>
      </c>
      <c r="C93" s="277">
        <v>46161</v>
      </c>
      <c r="D93" s="278"/>
      <c r="E93" s="279" t="s">
        <v>456</v>
      </c>
      <c r="F93" s="280"/>
      <c r="G93" s="289" t="s">
        <v>457</v>
      </c>
      <c r="H93" s="281">
        <v>149.99</v>
      </c>
      <c r="I93" s="281">
        <v>0</v>
      </c>
      <c r="J93" s="287">
        <v>149.99</v>
      </c>
      <c r="K93" s="279"/>
      <c r="L93" s="282" t="s">
        <v>170</v>
      </c>
      <c r="M93" s="283"/>
      <c r="N93" s="283"/>
      <c r="O93" s="283"/>
      <c r="P93" s="284"/>
      <c r="Q93" s="277">
        <v>46163</v>
      </c>
      <c r="R93" s="302" t="s">
        <v>467</v>
      </c>
      <c r="S93" s="277"/>
      <c r="T93" s="282"/>
      <c r="U93" s="279"/>
    </row>
    <row r="94" spans="1:21" x14ac:dyDescent="0.35">
      <c r="B94" s="276" t="s">
        <v>94</v>
      </c>
      <c r="C94" s="277">
        <v>46160</v>
      </c>
      <c r="D94" s="278"/>
      <c r="E94" s="279" t="s">
        <v>458</v>
      </c>
      <c r="F94" s="280"/>
      <c r="G94" s="279" t="s">
        <v>459</v>
      </c>
      <c r="H94" s="281">
        <v>950</v>
      </c>
      <c r="I94" s="281">
        <v>0</v>
      </c>
      <c r="J94" s="301">
        <v>950</v>
      </c>
      <c r="K94" s="279"/>
      <c r="L94" s="282" t="s">
        <v>89</v>
      </c>
      <c r="M94" s="283"/>
      <c r="N94" s="283"/>
      <c r="O94" s="283"/>
      <c r="P94" s="284"/>
      <c r="Q94" s="277">
        <v>46164</v>
      </c>
      <c r="R94" s="302" t="s">
        <v>473</v>
      </c>
      <c r="S94" s="277">
        <v>46160</v>
      </c>
      <c r="T94" s="282">
        <v>7.6</v>
      </c>
      <c r="U94" s="279" t="s">
        <v>475</v>
      </c>
    </row>
    <row r="95" spans="1:21" x14ac:dyDescent="0.35">
      <c r="B95" s="276" t="s">
        <v>94</v>
      </c>
      <c r="C95" s="277">
        <v>46167</v>
      </c>
      <c r="D95" s="278" t="s">
        <v>460</v>
      </c>
      <c r="E95" s="279" t="s">
        <v>192</v>
      </c>
      <c r="F95" s="280" t="s">
        <v>461</v>
      </c>
      <c r="G95" s="279" t="s">
        <v>462</v>
      </c>
      <c r="H95" s="281">
        <v>8.32</v>
      </c>
      <c r="I95" s="281">
        <v>1.66</v>
      </c>
      <c r="J95" s="287">
        <v>9.98</v>
      </c>
      <c r="K95" s="279"/>
      <c r="L95" s="282" t="s">
        <v>170</v>
      </c>
      <c r="M95" s="283"/>
      <c r="N95" s="283"/>
      <c r="O95" s="283"/>
      <c r="P95" s="284"/>
      <c r="Q95" s="277">
        <v>46168</v>
      </c>
      <c r="R95" s="302" t="s">
        <v>467</v>
      </c>
      <c r="S95" s="277"/>
      <c r="T95" s="282"/>
      <c r="U95" s="279"/>
    </row>
    <row r="96" spans="1:21" x14ac:dyDescent="0.35">
      <c r="B96" s="290" t="s">
        <v>94</v>
      </c>
      <c r="C96" s="291">
        <v>46167</v>
      </c>
      <c r="D96" s="292" t="s">
        <v>448</v>
      </c>
      <c r="E96" s="293" t="s">
        <v>387</v>
      </c>
      <c r="F96" s="294"/>
      <c r="G96" s="293" t="s">
        <v>388</v>
      </c>
      <c r="H96" s="295">
        <v>1.33</v>
      </c>
      <c r="I96" s="295">
        <v>0.26</v>
      </c>
      <c r="J96" s="296">
        <v>1.59</v>
      </c>
      <c r="K96" s="293"/>
      <c r="L96" s="297" t="s">
        <v>246</v>
      </c>
      <c r="M96" s="298"/>
      <c r="N96" s="298"/>
      <c r="O96" s="298"/>
      <c r="P96" s="299"/>
      <c r="Q96" s="291">
        <v>46169</v>
      </c>
      <c r="R96" s="302" t="s">
        <v>467</v>
      </c>
      <c r="S96" s="277"/>
      <c r="T96" s="282"/>
      <c r="U96" s="279"/>
    </row>
    <row r="97" spans="2:21" x14ac:dyDescent="0.35">
      <c r="B97" s="276" t="s">
        <v>94</v>
      </c>
      <c r="C97" s="277">
        <v>46169</v>
      </c>
      <c r="D97" s="278" t="s">
        <v>459</v>
      </c>
      <c r="E97" s="279" t="s">
        <v>463</v>
      </c>
      <c r="F97" s="280"/>
      <c r="G97" s="279" t="s">
        <v>459</v>
      </c>
      <c r="H97" s="281">
        <v>300</v>
      </c>
      <c r="I97" s="281">
        <v>0</v>
      </c>
      <c r="J97" s="301">
        <v>300</v>
      </c>
      <c r="K97" s="279"/>
      <c r="L97" s="282" t="s">
        <v>89</v>
      </c>
      <c r="M97" s="283"/>
      <c r="N97" s="283"/>
      <c r="O97" s="283"/>
      <c r="P97" s="284"/>
      <c r="Q97" s="277">
        <v>46169</v>
      </c>
      <c r="R97" s="302" t="s">
        <v>473</v>
      </c>
      <c r="S97" s="277">
        <v>46160</v>
      </c>
      <c r="T97" s="282"/>
      <c r="U97" s="279" t="s">
        <v>475</v>
      </c>
    </row>
    <row r="98" spans="2:21" x14ac:dyDescent="0.35">
      <c r="B98" s="276" t="s">
        <v>94</v>
      </c>
      <c r="C98" s="277">
        <v>46169</v>
      </c>
      <c r="D98" s="278" t="s">
        <v>459</v>
      </c>
      <c r="E98" s="279" t="s">
        <v>464</v>
      </c>
      <c r="F98" s="280"/>
      <c r="G98" s="279" t="s">
        <v>459</v>
      </c>
      <c r="H98" s="281">
        <v>500</v>
      </c>
      <c r="I98" s="281">
        <v>0</v>
      </c>
      <c r="J98" s="301">
        <v>500</v>
      </c>
      <c r="K98" s="279"/>
      <c r="L98" s="282" t="s">
        <v>89</v>
      </c>
      <c r="M98" s="283"/>
      <c r="N98" s="283"/>
      <c r="O98" s="283"/>
      <c r="P98" s="284"/>
      <c r="Q98" s="277">
        <v>46169</v>
      </c>
      <c r="R98" s="302" t="s">
        <v>474</v>
      </c>
      <c r="S98" s="277">
        <v>46160</v>
      </c>
      <c r="T98" s="282"/>
      <c r="U98" s="279" t="s">
        <v>475</v>
      </c>
    </row>
    <row r="99" spans="2:21" x14ac:dyDescent="0.35">
      <c r="B99" s="276" t="s">
        <v>94</v>
      </c>
      <c r="C99" s="277">
        <v>46169</v>
      </c>
      <c r="D99" s="278" t="s">
        <v>295</v>
      </c>
      <c r="E99" s="279" t="s">
        <v>465</v>
      </c>
      <c r="F99" s="280"/>
      <c r="G99" s="279" t="s">
        <v>466</v>
      </c>
      <c r="H99" s="281">
        <v>3.25</v>
      </c>
      <c r="I99" s="281">
        <v>0</v>
      </c>
      <c r="J99" s="287">
        <v>3.25</v>
      </c>
      <c r="K99" s="279"/>
      <c r="L99" s="282" t="s">
        <v>24</v>
      </c>
      <c r="M99" s="283"/>
      <c r="N99" s="283"/>
      <c r="O99" s="283"/>
      <c r="P99" s="284"/>
      <c r="Q99" s="277">
        <v>46169</v>
      </c>
      <c r="R99" s="302" t="s">
        <v>470</v>
      </c>
      <c r="S99" s="277"/>
      <c r="T99" s="282"/>
      <c r="U99" s="279"/>
    </row>
    <row r="100" spans="2:21" x14ac:dyDescent="0.35">
      <c r="B100" s="314"/>
      <c r="C100" s="288"/>
      <c r="D100" s="315"/>
      <c r="E100" s="275"/>
      <c r="F100" s="316"/>
      <c r="G100" s="275"/>
      <c r="H100" s="85"/>
      <c r="I100" s="85"/>
      <c r="J100" s="317"/>
      <c r="K100" s="275"/>
      <c r="L100" s="84"/>
      <c r="M100" s="318"/>
      <c r="N100" s="318"/>
      <c r="O100" s="318"/>
      <c r="P100" s="319"/>
      <c r="Q100" s="288"/>
      <c r="R100" s="54"/>
      <c r="S100" s="47"/>
      <c r="T100" s="51"/>
      <c r="U100" s="46"/>
    </row>
    <row r="101" spans="2:21" x14ac:dyDescent="0.35">
      <c r="B101" s="314"/>
      <c r="C101" s="288"/>
      <c r="D101" s="315"/>
      <c r="E101" s="275"/>
      <c r="F101" s="316"/>
      <c r="G101" s="275"/>
      <c r="H101" s="85"/>
      <c r="I101" s="85"/>
      <c r="J101" s="317"/>
      <c r="K101" s="275"/>
      <c r="L101" s="84"/>
      <c r="M101" s="318"/>
      <c r="N101" s="318"/>
      <c r="O101" s="318"/>
      <c r="P101" s="319"/>
      <c r="Q101" s="288"/>
      <c r="R101" s="54"/>
      <c r="S101" s="47"/>
      <c r="T101" s="51"/>
      <c r="U101" s="46"/>
    </row>
    <row r="102" spans="2:21" x14ac:dyDescent="0.35">
      <c r="B102" s="314"/>
      <c r="C102" s="288"/>
      <c r="D102" s="315"/>
      <c r="E102" s="275"/>
      <c r="F102" s="316" t="s">
        <v>114</v>
      </c>
      <c r="G102" s="275"/>
      <c r="H102" s="85"/>
      <c r="I102" s="85"/>
      <c r="J102" s="317"/>
      <c r="K102" s="275"/>
      <c r="L102" s="84"/>
      <c r="M102" s="318"/>
      <c r="N102" s="318"/>
      <c r="O102" s="318"/>
      <c r="P102" s="319"/>
      <c r="Q102" s="288"/>
      <c r="R102" s="54"/>
      <c r="S102" s="47"/>
      <c r="T102" s="51"/>
      <c r="U102" s="46"/>
    </row>
    <row r="103" spans="2:21" x14ac:dyDescent="0.35">
      <c r="B103" s="314"/>
      <c r="C103" s="288"/>
      <c r="D103" s="315"/>
      <c r="E103" s="275"/>
      <c r="F103" s="316"/>
      <c r="G103" s="275"/>
      <c r="H103" s="85"/>
      <c r="I103" s="85"/>
      <c r="J103" s="317"/>
      <c r="K103" s="275"/>
      <c r="L103" s="84"/>
      <c r="M103" s="318"/>
      <c r="N103" s="318"/>
      <c r="O103" s="318"/>
      <c r="P103" s="319"/>
      <c r="Q103" s="288"/>
      <c r="R103" s="54"/>
      <c r="S103" s="47"/>
      <c r="T103" s="51"/>
      <c r="U103" s="46"/>
    </row>
    <row r="104" spans="2:21" x14ac:dyDescent="0.35">
      <c r="B104" s="314"/>
      <c r="C104" s="288"/>
      <c r="D104" s="315"/>
      <c r="E104" s="275"/>
      <c r="F104" s="316"/>
      <c r="G104" s="275"/>
      <c r="H104" s="85"/>
      <c r="I104" s="85"/>
      <c r="J104" s="317"/>
      <c r="K104" s="275"/>
      <c r="L104" s="84"/>
      <c r="M104" s="318"/>
      <c r="N104" s="318"/>
      <c r="O104" s="318"/>
      <c r="P104" s="319"/>
      <c r="Q104" s="288"/>
      <c r="R104" s="54"/>
      <c r="S104" s="47"/>
      <c r="T104" s="51"/>
      <c r="U104" s="46"/>
    </row>
    <row r="105" spans="2:21" x14ac:dyDescent="0.35">
      <c r="B105" s="314"/>
      <c r="C105" s="288"/>
      <c r="D105" s="315"/>
      <c r="E105" s="275"/>
      <c r="F105" s="316"/>
      <c r="G105" s="275"/>
      <c r="H105" s="85"/>
      <c r="I105" s="85"/>
      <c r="J105" s="317"/>
      <c r="K105" s="275"/>
      <c r="L105" s="84"/>
      <c r="M105" s="318"/>
      <c r="N105" s="318"/>
      <c r="O105" s="318"/>
      <c r="P105" s="319"/>
      <c r="Q105" s="288"/>
      <c r="R105" s="54"/>
      <c r="S105" s="47"/>
      <c r="T105" s="51"/>
      <c r="U105" s="46"/>
    </row>
    <row r="106" spans="2:21" x14ac:dyDescent="0.35">
      <c r="B106" s="314"/>
      <c r="C106" s="288"/>
      <c r="D106" s="315"/>
      <c r="E106" s="275"/>
      <c r="F106" s="316"/>
      <c r="G106" s="275"/>
      <c r="H106" s="85"/>
      <c r="I106" s="85"/>
      <c r="J106" s="317"/>
      <c r="K106" s="275"/>
      <c r="L106" s="84"/>
      <c r="M106" s="318"/>
      <c r="N106" s="318"/>
      <c r="O106" s="318"/>
      <c r="P106" s="319"/>
      <c r="Q106" s="288"/>
      <c r="R106" s="54"/>
      <c r="S106" s="47"/>
      <c r="T106" s="51"/>
      <c r="U106" s="46"/>
    </row>
    <row r="107" spans="2:21" x14ac:dyDescent="0.35">
      <c r="B107" s="314"/>
      <c r="C107" s="288"/>
      <c r="D107" s="315"/>
      <c r="E107" s="275"/>
      <c r="F107" s="316"/>
      <c r="G107" s="275"/>
      <c r="H107" s="85"/>
      <c r="I107" s="85"/>
      <c r="J107" s="317"/>
      <c r="K107" s="275"/>
      <c r="L107" s="84"/>
      <c r="M107" s="318"/>
      <c r="N107" s="318"/>
      <c r="O107" s="318"/>
      <c r="P107" s="319"/>
      <c r="Q107" s="288"/>
      <c r="R107" s="54"/>
      <c r="S107" s="47"/>
      <c r="T107" s="51"/>
      <c r="U107" s="46"/>
    </row>
    <row r="108" spans="2:21" x14ac:dyDescent="0.35">
      <c r="B108" s="314"/>
      <c r="C108" s="288"/>
      <c r="D108" s="315"/>
      <c r="E108" s="275"/>
      <c r="F108" s="316"/>
      <c r="G108" s="275"/>
      <c r="H108" s="85"/>
      <c r="I108" s="85"/>
      <c r="J108" s="317"/>
      <c r="K108" s="275"/>
      <c r="L108" s="84"/>
      <c r="M108" s="318"/>
      <c r="N108" s="318"/>
      <c r="O108" s="318"/>
      <c r="P108" s="319"/>
      <c r="Q108" s="288"/>
      <c r="R108" s="54"/>
      <c r="S108" s="47"/>
      <c r="T108" s="51"/>
      <c r="U108" s="46"/>
    </row>
    <row r="109" spans="2:21" x14ac:dyDescent="0.35">
      <c r="B109" s="314"/>
      <c r="C109" s="288"/>
      <c r="D109" s="315"/>
      <c r="E109" s="275"/>
      <c r="F109" s="316"/>
      <c r="G109" s="275"/>
      <c r="H109" s="85"/>
      <c r="I109" s="85"/>
      <c r="J109" s="317"/>
      <c r="K109" s="275"/>
      <c r="L109" s="84"/>
      <c r="M109" s="318"/>
      <c r="N109" s="318"/>
      <c r="O109" s="318"/>
      <c r="P109" s="319"/>
      <c r="Q109" s="288"/>
      <c r="R109" s="54"/>
      <c r="S109" s="47"/>
      <c r="T109" s="51"/>
      <c r="U109" s="46"/>
    </row>
    <row r="110" spans="2:21" x14ac:dyDescent="0.35">
      <c r="B110" s="314"/>
      <c r="C110" s="288"/>
      <c r="D110" s="315"/>
      <c r="E110" s="275"/>
      <c r="F110" s="316"/>
      <c r="G110" s="275"/>
      <c r="H110" s="85"/>
      <c r="I110" s="85"/>
      <c r="J110" s="317"/>
      <c r="K110" s="275"/>
      <c r="L110" s="84"/>
      <c r="M110" s="318"/>
      <c r="N110" s="318"/>
      <c r="O110" s="318"/>
      <c r="P110" s="319"/>
      <c r="Q110" s="288"/>
      <c r="R110" s="54"/>
      <c r="S110" s="47"/>
      <c r="T110" s="51"/>
      <c r="U110" s="46"/>
    </row>
    <row r="111" spans="2:21" x14ac:dyDescent="0.35">
      <c r="B111" s="314"/>
      <c r="C111" s="288"/>
      <c r="D111" s="315"/>
      <c r="E111" s="275"/>
      <c r="F111" s="316"/>
      <c r="G111" s="275"/>
      <c r="H111" s="85"/>
      <c r="I111" s="85"/>
      <c r="J111" s="317"/>
      <c r="K111" s="275"/>
      <c r="L111" s="84"/>
      <c r="M111" s="318"/>
      <c r="N111" s="318"/>
      <c r="O111" s="318"/>
      <c r="P111" s="319"/>
      <c r="Q111" s="288"/>
      <c r="R111" s="54"/>
      <c r="S111" s="47"/>
      <c r="T111" s="51"/>
      <c r="U111" s="46"/>
    </row>
    <row r="112" spans="2:21" x14ac:dyDescent="0.35">
      <c r="B112" s="314"/>
      <c r="C112" s="288"/>
      <c r="D112" s="315"/>
      <c r="E112" s="275"/>
      <c r="F112" s="316"/>
      <c r="G112" s="275"/>
      <c r="H112" s="85"/>
      <c r="I112" s="85"/>
      <c r="J112" s="317"/>
      <c r="K112" s="275"/>
      <c r="L112" s="84"/>
      <c r="M112" s="318"/>
      <c r="N112" s="318"/>
      <c r="O112" s="318"/>
      <c r="P112" s="319"/>
      <c r="Q112" s="288"/>
      <c r="R112" s="54"/>
      <c r="S112" s="47"/>
      <c r="T112" s="51"/>
      <c r="U112" s="46"/>
    </row>
    <row r="113" spans="2:21" x14ac:dyDescent="0.35">
      <c r="B113" s="314"/>
      <c r="C113" s="288"/>
      <c r="D113" s="315"/>
      <c r="E113" s="275"/>
      <c r="F113" s="316"/>
      <c r="G113" s="275"/>
      <c r="H113" s="85"/>
      <c r="I113" s="85"/>
      <c r="J113" s="317" t="str">
        <f t="shared" si="4"/>
        <v/>
      </c>
      <c r="K113" s="275"/>
      <c r="L113" s="84"/>
      <c r="M113" s="318"/>
      <c r="N113" s="318"/>
      <c r="O113" s="318"/>
      <c r="P113" s="319"/>
      <c r="Q113" s="288"/>
      <c r="R113" s="54"/>
      <c r="S113" s="47"/>
      <c r="T113" s="51"/>
      <c r="U113" s="46"/>
    </row>
    <row r="114" spans="2:21" x14ac:dyDescent="0.35">
      <c r="B114" s="314"/>
      <c r="C114" s="288"/>
      <c r="D114" s="315"/>
      <c r="E114" s="275"/>
      <c r="F114" s="316"/>
      <c r="G114" s="275"/>
      <c r="H114" s="85"/>
      <c r="I114" s="85"/>
      <c r="J114" s="317"/>
      <c r="K114" s="275"/>
      <c r="L114" s="84"/>
      <c r="M114" s="318"/>
      <c r="N114" s="318"/>
      <c r="O114" s="318"/>
      <c r="P114" s="319"/>
      <c r="Q114" s="288"/>
      <c r="R114" s="54"/>
      <c r="S114" s="47"/>
      <c r="T114" s="51"/>
      <c r="U114" s="46"/>
    </row>
    <row r="115" spans="2:21" x14ac:dyDescent="0.35">
      <c r="B115" s="314"/>
      <c r="C115" s="288"/>
      <c r="D115" s="315"/>
      <c r="E115" s="275"/>
      <c r="F115" s="316"/>
      <c r="G115" s="275"/>
      <c r="H115" s="85"/>
      <c r="I115" s="85"/>
      <c r="J115" s="317"/>
      <c r="K115" s="275"/>
      <c r="L115" s="84"/>
      <c r="M115" s="318"/>
      <c r="N115" s="318"/>
      <c r="O115" s="318"/>
      <c r="P115" s="319"/>
      <c r="Q115" s="288"/>
      <c r="R115" s="54"/>
      <c r="S115" s="47"/>
      <c r="T115" s="51"/>
      <c r="U115" s="46"/>
    </row>
    <row r="116" spans="2:21" x14ac:dyDescent="0.35">
      <c r="B116" s="314"/>
      <c r="C116" s="288"/>
      <c r="D116" s="315"/>
      <c r="E116" s="275"/>
      <c r="F116" s="316" t="s">
        <v>114</v>
      </c>
      <c r="G116" s="275"/>
      <c r="H116" s="85"/>
      <c r="I116" s="85"/>
      <c r="J116" s="317"/>
      <c r="K116" s="275"/>
      <c r="L116" s="84"/>
      <c r="M116" s="318"/>
      <c r="N116" s="318"/>
      <c r="O116" s="318"/>
      <c r="P116" s="319"/>
      <c r="Q116" s="288"/>
      <c r="R116" s="54"/>
      <c r="S116" s="47"/>
      <c r="T116" s="51"/>
      <c r="U116" s="46"/>
    </row>
    <row r="117" spans="2:21" x14ac:dyDescent="0.35">
      <c r="B117" s="314"/>
      <c r="C117" s="288"/>
      <c r="D117" s="315"/>
      <c r="E117" s="275"/>
      <c r="F117" s="316"/>
      <c r="G117" s="275"/>
      <c r="H117" s="85"/>
      <c r="I117" s="85"/>
      <c r="J117" s="317"/>
      <c r="K117" s="275"/>
      <c r="L117" s="84"/>
      <c r="M117" s="318"/>
      <c r="N117" s="318"/>
      <c r="O117" s="318"/>
      <c r="P117" s="319"/>
      <c r="Q117" s="288"/>
      <c r="R117" s="54"/>
      <c r="S117" s="47"/>
      <c r="T117" s="51"/>
      <c r="U117" s="46"/>
    </row>
    <row r="118" spans="2:21" x14ac:dyDescent="0.35">
      <c r="B118" s="314"/>
      <c r="C118" s="288"/>
      <c r="D118" s="315"/>
      <c r="E118" s="275"/>
      <c r="F118" s="316"/>
      <c r="G118" s="275"/>
      <c r="H118" s="85"/>
      <c r="I118" s="85"/>
      <c r="J118" s="317"/>
      <c r="K118" s="275"/>
      <c r="L118" s="84"/>
      <c r="M118" s="318"/>
      <c r="N118" s="318"/>
      <c r="O118" s="318"/>
      <c r="P118" s="319"/>
      <c r="Q118" s="288"/>
      <c r="R118" s="54"/>
      <c r="S118" s="47"/>
      <c r="T118" s="51"/>
      <c r="U118" s="46"/>
    </row>
    <row r="119" spans="2:21" x14ac:dyDescent="0.35">
      <c r="B119" s="314"/>
      <c r="C119" s="288"/>
      <c r="D119" s="315"/>
      <c r="E119" s="275"/>
      <c r="F119" s="316"/>
      <c r="G119" s="275"/>
      <c r="H119" s="85"/>
      <c r="I119" s="85"/>
      <c r="J119" s="317"/>
      <c r="K119" s="275"/>
      <c r="L119" s="84"/>
      <c r="M119" s="318"/>
      <c r="N119" s="318"/>
      <c r="O119" s="318"/>
      <c r="P119" s="319"/>
      <c r="Q119" s="288"/>
      <c r="R119" s="54"/>
      <c r="S119" s="47"/>
      <c r="T119" s="51"/>
      <c r="U119" s="46"/>
    </row>
    <row r="120" spans="2:21" x14ac:dyDescent="0.35">
      <c r="B120" s="314"/>
      <c r="C120" s="288"/>
      <c r="D120" s="315"/>
      <c r="E120" s="275"/>
      <c r="F120" s="316"/>
      <c r="G120" s="275"/>
      <c r="H120" s="85"/>
      <c r="I120" s="85"/>
      <c r="J120" s="317"/>
      <c r="K120" s="275"/>
      <c r="L120" s="84"/>
      <c r="M120" s="318"/>
      <c r="N120" s="318"/>
      <c r="O120" s="318"/>
      <c r="P120" s="319"/>
      <c r="Q120" s="288"/>
      <c r="R120" s="54"/>
      <c r="S120" s="47"/>
      <c r="T120" s="51"/>
      <c r="U120" s="46"/>
    </row>
    <row r="121" spans="2:21" x14ac:dyDescent="0.35">
      <c r="B121" s="314"/>
      <c r="C121" s="288"/>
      <c r="D121" s="315"/>
      <c r="E121" s="275"/>
      <c r="F121" s="316"/>
      <c r="G121" s="275"/>
      <c r="H121" s="85"/>
      <c r="I121" s="85"/>
      <c r="J121" s="317"/>
      <c r="K121" s="275"/>
      <c r="L121" s="84"/>
      <c r="M121" s="318"/>
      <c r="N121" s="318"/>
      <c r="O121" s="318"/>
      <c r="P121" s="319"/>
      <c r="Q121" s="288"/>
      <c r="R121" s="54"/>
      <c r="S121" s="47"/>
      <c r="T121" s="51"/>
      <c r="U121" s="46"/>
    </row>
    <row r="122" spans="2:21" x14ac:dyDescent="0.35">
      <c r="B122" s="314"/>
      <c r="C122" s="288"/>
      <c r="D122" s="315"/>
      <c r="E122" s="275"/>
      <c r="F122" s="316"/>
      <c r="G122" s="275"/>
      <c r="H122" s="85"/>
      <c r="I122" s="85"/>
      <c r="J122" s="317"/>
      <c r="K122" s="275"/>
      <c r="L122" s="84"/>
      <c r="M122" s="318"/>
      <c r="N122" s="318"/>
      <c r="O122" s="318"/>
      <c r="P122" s="319"/>
      <c r="Q122" s="288"/>
      <c r="R122" s="54"/>
      <c r="S122" s="47"/>
      <c r="T122" s="51"/>
      <c r="U122" s="46"/>
    </row>
    <row r="123" spans="2:21" x14ac:dyDescent="0.35">
      <c r="B123" s="314"/>
      <c r="C123" s="288"/>
      <c r="D123" s="315"/>
      <c r="E123" s="275"/>
      <c r="F123" s="316"/>
      <c r="G123" s="275"/>
      <c r="H123" s="85"/>
      <c r="I123" s="85"/>
      <c r="J123" s="317"/>
      <c r="K123" s="275"/>
      <c r="L123" s="84"/>
      <c r="M123" s="318"/>
      <c r="N123" s="318"/>
      <c r="O123" s="318"/>
      <c r="P123" s="319"/>
      <c r="Q123" s="288"/>
      <c r="R123" s="54"/>
      <c r="S123" s="47"/>
      <c r="T123" s="51"/>
      <c r="U123" s="46"/>
    </row>
    <row r="124" spans="2:21" x14ac:dyDescent="0.35">
      <c r="B124" s="314"/>
      <c r="C124" s="288"/>
      <c r="D124" s="315"/>
      <c r="E124" s="275"/>
      <c r="F124" s="316"/>
      <c r="G124" s="275"/>
      <c r="H124" s="85"/>
      <c r="I124" s="85"/>
      <c r="J124" s="317"/>
      <c r="K124" s="275"/>
      <c r="L124" s="84"/>
      <c r="M124" s="318"/>
      <c r="N124" s="318"/>
      <c r="O124" s="318"/>
      <c r="P124" s="319"/>
      <c r="Q124" s="288"/>
      <c r="R124" s="54"/>
      <c r="S124" s="47"/>
      <c r="T124" s="51"/>
      <c r="U124" s="46"/>
    </row>
    <row r="125" spans="2:21" x14ac:dyDescent="0.35">
      <c r="B125" s="314"/>
      <c r="C125" s="288"/>
      <c r="D125" s="315"/>
      <c r="E125" s="275"/>
      <c r="F125" s="316"/>
      <c r="G125" s="275"/>
      <c r="H125" s="85"/>
      <c r="I125" s="85"/>
      <c r="J125" s="317"/>
      <c r="K125" s="275"/>
      <c r="L125" s="84"/>
      <c r="M125" s="318"/>
      <c r="N125" s="318"/>
      <c r="O125" s="318"/>
      <c r="P125" s="319"/>
      <c r="Q125" s="288"/>
      <c r="R125" s="54"/>
      <c r="S125" s="47"/>
      <c r="T125" s="51"/>
      <c r="U125" s="46"/>
    </row>
    <row r="126" spans="2:21" x14ac:dyDescent="0.35">
      <c r="B126" s="314"/>
      <c r="C126" s="288"/>
      <c r="D126" s="315"/>
      <c r="E126" s="275"/>
      <c r="F126" s="316"/>
      <c r="G126" s="275"/>
      <c r="H126" s="85"/>
      <c r="I126" s="85"/>
      <c r="J126" s="317"/>
      <c r="K126" s="275"/>
      <c r="L126" s="84"/>
      <c r="M126" s="318"/>
      <c r="N126" s="318"/>
      <c r="O126" s="318"/>
      <c r="P126" s="319"/>
      <c r="Q126" s="288"/>
      <c r="R126" s="54"/>
      <c r="S126" s="47"/>
      <c r="T126" s="51"/>
      <c r="U126" s="46"/>
    </row>
    <row r="127" spans="2:21" x14ac:dyDescent="0.35">
      <c r="B127" s="314"/>
      <c r="C127" s="288"/>
      <c r="D127" s="315"/>
      <c r="E127" s="275"/>
      <c r="F127" s="316"/>
      <c r="G127" s="275"/>
      <c r="H127" s="85"/>
      <c r="I127" s="85"/>
      <c r="J127" s="317" t="str">
        <f t="shared" ref="J127" si="5">IF(AND(ISBLANK(H127),ISBLANK(I127)),"",SUM(H127:I127))</f>
        <v/>
      </c>
      <c r="K127" s="275"/>
      <c r="L127" s="84"/>
      <c r="M127" s="318"/>
      <c r="N127" s="318"/>
      <c r="O127" s="318"/>
      <c r="P127" s="319"/>
      <c r="Q127" s="288"/>
      <c r="R127" s="54"/>
      <c r="S127" s="47"/>
      <c r="T127" s="51"/>
      <c r="U127" s="46"/>
    </row>
  </sheetData>
  <mergeCells count="1">
    <mergeCell ref="M3:P3"/>
  </mergeCells>
  <phoneticPr fontId="3" type="noConversion"/>
  <pageMargins left="0.59055118110236227" right="0.59055118110236227" top="0.59055118110236227" bottom="0.59055118110236227" header="0.27559055118110237" footer="0.27559055118110237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59999389629810485"/>
  </sheetPr>
  <dimension ref="B1:J9"/>
  <sheetViews>
    <sheetView showGridLines="0" workbookViewId="0">
      <selection activeCell="D14" sqref="D14"/>
    </sheetView>
  </sheetViews>
  <sheetFormatPr defaultRowHeight="14.5" x14ac:dyDescent="0.35"/>
  <cols>
    <col min="1" max="1" width="2.1796875" customWidth="1"/>
    <col min="2" max="2" width="18.453125" customWidth="1"/>
    <col min="3" max="3" width="10.81640625" style="4" customWidth="1"/>
    <col min="4" max="4" width="46" bestFit="1" customWidth="1"/>
  </cols>
  <sheetData>
    <row r="1" spans="2:10" s="14" customFormat="1" ht="21" customHeight="1" x14ac:dyDescent="0.6">
      <c r="B1" s="325" t="str">
        <f>SETUP!C4&amp;" Parish Council"</f>
        <v>Barnton Parish Council</v>
      </c>
      <c r="C1" s="325"/>
      <c r="D1" s="325"/>
      <c r="E1" s="13"/>
      <c r="F1" s="13"/>
      <c r="G1" s="13"/>
      <c r="H1" s="13"/>
      <c r="I1" s="13"/>
      <c r="J1" s="13"/>
    </row>
    <row r="2" spans="2:10" s="15" customFormat="1" ht="21" customHeight="1" x14ac:dyDescent="0.35">
      <c r="B2" s="325" t="str">
        <f>SETUP!C13&amp;" Rserves Sheet"</f>
        <v>2026-27 Rserves Sheet</v>
      </c>
      <c r="C2" s="325"/>
      <c r="D2" s="325"/>
      <c r="E2" s="13"/>
      <c r="F2" s="13"/>
      <c r="G2" s="13"/>
      <c r="H2" s="13"/>
      <c r="I2" s="13"/>
      <c r="J2" s="13"/>
    </row>
    <row r="3" spans="2:10" s="11" customFormat="1" ht="13" x14ac:dyDescent="0.3">
      <c r="B3" s="12"/>
      <c r="C3" s="12"/>
      <c r="D3" s="12"/>
    </row>
    <row r="4" spans="2:10" s="3" customFormat="1" x14ac:dyDescent="0.35">
      <c r="B4" s="5" t="s">
        <v>58</v>
      </c>
      <c r="C4" s="6" t="s">
        <v>13</v>
      </c>
      <c r="D4" s="7" t="s">
        <v>7</v>
      </c>
    </row>
    <row r="5" spans="2:10" s="3" customFormat="1" x14ac:dyDescent="0.35">
      <c r="B5" s="1" t="s">
        <v>5</v>
      </c>
      <c r="C5" s="16">
        <v>7500</v>
      </c>
      <c r="D5" s="8" t="s">
        <v>67</v>
      </c>
    </row>
    <row r="6" spans="2:10" s="3" customFormat="1" x14ac:dyDescent="0.35">
      <c r="B6" s="1" t="s">
        <v>65</v>
      </c>
      <c r="C6" s="2">
        <v>20000</v>
      </c>
      <c r="D6" s="8"/>
    </row>
    <row r="7" spans="2:10" s="3" customFormat="1" x14ac:dyDescent="0.35">
      <c r="B7" s="1"/>
      <c r="C7" s="2"/>
      <c r="D7" s="8"/>
    </row>
    <row r="8" spans="2:10" s="3" customFormat="1" x14ac:dyDescent="0.35">
      <c r="B8" s="1"/>
      <c r="C8" s="2"/>
      <c r="D8" s="2"/>
    </row>
    <row r="9" spans="2:10" s="3" customFormat="1" x14ac:dyDescent="0.35">
      <c r="B9" s="9" t="s">
        <v>20</v>
      </c>
      <c r="C9" s="10">
        <f>SUM(C5:C8)</f>
        <v>27500</v>
      </c>
      <c r="D9" s="9"/>
    </row>
  </sheetData>
  <mergeCells count="2">
    <mergeCell ref="B2:D2"/>
    <mergeCell ref="B1:D1"/>
  </mergeCells>
  <pageMargins left="0.7" right="0.7" top="0.75" bottom="0.75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</sheetPr>
  <dimension ref="A1:Z64"/>
  <sheetViews>
    <sheetView showGridLines="0" zoomScaleNormal="100" workbookViewId="0">
      <pane ySplit="5" topLeftCell="A6" activePane="bottomLeft" state="frozen"/>
      <selection pane="bottomLeft" activeCell="J19" sqref="J19"/>
    </sheetView>
  </sheetViews>
  <sheetFormatPr defaultColWidth="8.81640625" defaultRowHeight="13" x14ac:dyDescent="0.35"/>
  <cols>
    <col min="1" max="1" width="2.1796875" style="33" customWidth="1"/>
    <col min="2" max="2" width="8.81640625" style="33" customWidth="1"/>
    <col min="3" max="3" width="8.54296875" style="80" bestFit="1" customWidth="1"/>
    <col min="4" max="5" width="8.54296875" style="33" bestFit="1" customWidth="1"/>
    <col min="6" max="6" width="20.81640625" style="33" bestFit="1" customWidth="1"/>
    <col min="7" max="7" width="41" style="33" bestFit="1" customWidth="1"/>
    <col min="8" max="8" width="9.81640625" style="33" bestFit="1" customWidth="1"/>
    <col min="9" max="9" width="12.81640625" style="33" bestFit="1" customWidth="1"/>
    <col min="10" max="16384" width="8.81640625" style="33"/>
  </cols>
  <sheetData>
    <row r="1" spans="1:26" s="72" customFormat="1" x14ac:dyDescent="0.35">
      <c r="B1" s="326" t="str">
        <f>SETUP!C4&amp;" Parish Council"</f>
        <v>Barnton Parish Council</v>
      </c>
      <c r="C1" s="326"/>
      <c r="D1" s="326"/>
      <c r="E1" s="326"/>
      <c r="F1" s="326"/>
      <c r="G1" s="326"/>
      <c r="H1" s="326"/>
      <c r="I1" s="326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 spans="1:26" s="72" customFormat="1" x14ac:dyDescent="0.35">
      <c r="B2" s="326" t="s">
        <v>97</v>
      </c>
      <c r="C2" s="326"/>
      <c r="D2" s="326"/>
      <c r="E2" s="326"/>
      <c r="F2" s="326"/>
      <c r="G2" s="326"/>
      <c r="H2" s="326"/>
      <c r="I2" s="326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 spans="1:26" s="75" customFormat="1" ht="12" customHeight="1" x14ac:dyDescent="0.35">
      <c r="B3" s="76"/>
      <c r="C3" s="77"/>
      <c r="D3" s="76"/>
      <c r="E3" s="76"/>
      <c r="F3" s="76"/>
      <c r="G3" s="76"/>
      <c r="H3" s="76"/>
      <c r="I3" s="76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</row>
    <row r="4" spans="1:26" s="42" customFormat="1" ht="12" customHeight="1" x14ac:dyDescent="0.35">
      <c r="A4" s="33" t="s">
        <v>220</v>
      </c>
      <c r="B4" s="23" t="s">
        <v>6</v>
      </c>
      <c r="C4" s="23" t="s">
        <v>128</v>
      </c>
      <c r="D4" s="39" t="s">
        <v>128</v>
      </c>
      <c r="E4" s="23" t="s">
        <v>137</v>
      </c>
      <c r="F4" s="23" t="s">
        <v>137</v>
      </c>
      <c r="G4" s="23" t="s">
        <v>1</v>
      </c>
      <c r="H4" s="24" t="s">
        <v>13</v>
      </c>
      <c r="I4" s="23" t="s">
        <v>18</v>
      </c>
    </row>
    <row r="5" spans="1:26" s="42" customFormat="1" ht="12" customHeight="1" x14ac:dyDescent="0.35">
      <c r="A5" s="33"/>
      <c r="B5" s="25"/>
      <c r="C5" s="25" t="s">
        <v>12</v>
      </c>
      <c r="D5" s="44" t="s">
        <v>70</v>
      </c>
      <c r="E5" s="25" t="s">
        <v>12</v>
      </c>
      <c r="F5" s="25" t="s">
        <v>138</v>
      </c>
      <c r="G5" s="25"/>
      <c r="H5" s="26"/>
      <c r="I5" s="25" t="s">
        <v>21</v>
      </c>
    </row>
    <row r="6" spans="1:26" x14ac:dyDescent="0.35">
      <c r="B6" s="47" t="s">
        <v>94</v>
      </c>
      <c r="C6" s="47">
        <v>46113</v>
      </c>
      <c r="D6" s="79" t="s">
        <v>338</v>
      </c>
      <c r="E6" s="47">
        <v>46113</v>
      </c>
      <c r="F6" s="51" t="s">
        <v>334</v>
      </c>
      <c r="G6" s="46" t="s">
        <v>335</v>
      </c>
      <c r="H6" s="50">
        <v>65</v>
      </c>
      <c r="I6" s="52" t="s">
        <v>157</v>
      </c>
    </row>
    <row r="7" spans="1:26" x14ac:dyDescent="0.35">
      <c r="B7" s="47" t="s">
        <v>94</v>
      </c>
      <c r="C7" s="47">
        <v>46116</v>
      </c>
      <c r="D7" s="79">
        <v>46082</v>
      </c>
      <c r="E7" s="47">
        <v>46114</v>
      </c>
      <c r="F7" s="51" t="s">
        <v>71</v>
      </c>
      <c r="G7" s="46" t="s">
        <v>160</v>
      </c>
      <c r="H7" s="50">
        <v>63.05</v>
      </c>
      <c r="I7" s="52" t="s">
        <v>160</v>
      </c>
    </row>
    <row r="8" spans="1:26" x14ac:dyDescent="0.35">
      <c r="B8" s="47" t="s">
        <v>94</v>
      </c>
      <c r="C8" s="47">
        <v>46113</v>
      </c>
      <c r="D8" s="79" t="s">
        <v>339</v>
      </c>
      <c r="E8" s="47">
        <v>46115</v>
      </c>
      <c r="F8" s="51" t="s">
        <v>336</v>
      </c>
      <c r="G8" s="46" t="s">
        <v>337</v>
      </c>
      <c r="H8" s="50">
        <v>65</v>
      </c>
      <c r="I8" s="52" t="s">
        <v>157</v>
      </c>
    </row>
    <row r="9" spans="1:26" x14ac:dyDescent="0.35">
      <c r="B9" s="47" t="s">
        <v>94</v>
      </c>
      <c r="C9" s="47">
        <v>46120</v>
      </c>
      <c r="D9" s="79" t="s">
        <v>340</v>
      </c>
      <c r="E9" s="47">
        <v>46120</v>
      </c>
      <c r="F9" s="51" t="s">
        <v>341</v>
      </c>
      <c r="G9" s="46" t="s">
        <v>342</v>
      </c>
      <c r="H9" s="50">
        <v>86</v>
      </c>
      <c r="I9" s="52" t="s">
        <v>162</v>
      </c>
    </row>
    <row r="10" spans="1:26" x14ac:dyDescent="0.35">
      <c r="B10" s="47" t="s">
        <v>94</v>
      </c>
      <c r="C10" s="47">
        <v>46111</v>
      </c>
      <c r="D10" s="79" t="s">
        <v>343</v>
      </c>
      <c r="E10" s="47">
        <v>46121</v>
      </c>
      <c r="F10" s="51" t="s">
        <v>344</v>
      </c>
      <c r="G10" s="46" t="s">
        <v>345</v>
      </c>
      <c r="H10" s="50">
        <v>1000</v>
      </c>
      <c r="I10" s="52" t="s">
        <v>162</v>
      </c>
    </row>
    <row r="11" spans="1:26" x14ac:dyDescent="0.35">
      <c r="B11" s="47" t="s">
        <v>94</v>
      </c>
      <c r="C11" s="47">
        <v>46107</v>
      </c>
      <c r="D11" s="79" t="s">
        <v>346</v>
      </c>
      <c r="E11" s="47">
        <v>46121</v>
      </c>
      <c r="F11" s="51" t="s">
        <v>347</v>
      </c>
      <c r="G11" s="46" t="s">
        <v>345</v>
      </c>
      <c r="H11" s="50">
        <v>1000</v>
      </c>
      <c r="I11" s="52" t="s">
        <v>162</v>
      </c>
    </row>
    <row r="12" spans="1:26" x14ac:dyDescent="0.35">
      <c r="B12" s="47" t="s">
        <v>94</v>
      </c>
      <c r="C12" s="47">
        <v>46113</v>
      </c>
      <c r="D12" s="79" t="s">
        <v>348</v>
      </c>
      <c r="E12" s="47">
        <v>46121</v>
      </c>
      <c r="F12" s="51" t="s">
        <v>349</v>
      </c>
      <c r="G12" s="46" t="s">
        <v>335</v>
      </c>
      <c r="H12" s="50">
        <v>65</v>
      </c>
      <c r="I12" s="52" t="s">
        <v>157</v>
      </c>
    </row>
    <row r="13" spans="1:26" x14ac:dyDescent="0.35">
      <c r="B13" s="47" t="s">
        <v>94</v>
      </c>
      <c r="C13" s="47">
        <v>46113</v>
      </c>
      <c r="D13" s="79" t="s">
        <v>10</v>
      </c>
      <c r="E13" s="47">
        <v>46125</v>
      </c>
      <c r="F13" s="51" t="s">
        <v>350</v>
      </c>
      <c r="G13" s="46" t="s">
        <v>351</v>
      </c>
      <c r="H13" s="50">
        <v>155713</v>
      </c>
      <c r="I13" s="52" t="s">
        <v>10</v>
      </c>
    </row>
    <row r="14" spans="1:26" x14ac:dyDescent="0.35">
      <c r="B14" s="47" t="s">
        <v>94</v>
      </c>
      <c r="C14" s="47">
        <v>46113</v>
      </c>
      <c r="D14" s="79" t="s">
        <v>3</v>
      </c>
      <c r="E14" s="47">
        <v>46125</v>
      </c>
      <c r="F14" s="51" t="s">
        <v>332</v>
      </c>
      <c r="G14" s="46" t="s">
        <v>352</v>
      </c>
      <c r="H14" s="50">
        <v>10735.78</v>
      </c>
      <c r="I14" s="52" t="s">
        <v>161</v>
      </c>
    </row>
    <row r="15" spans="1:26" x14ac:dyDescent="0.35">
      <c r="B15" s="47" t="s">
        <v>94</v>
      </c>
      <c r="C15" s="47">
        <v>46132</v>
      </c>
      <c r="D15" s="79" t="s">
        <v>376</v>
      </c>
      <c r="E15" s="47">
        <v>46132</v>
      </c>
      <c r="F15" s="51" t="s">
        <v>377</v>
      </c>
      <c r="G15" s="46" t="s">
        <v>378</v>
      </c>
      <c r="H15" s="50">
        <v>40</v>
      </c>
      <c r="I15" s="52" t="s">
        <v>162</v>
      </c>
    </row>
    <row r="16" spans="1:26" x14ac:dyDescent="0.35">
      <c r="B16" s="47" t="s">
        <v>94</v>
      </c>
      <c r="C16" s="47">
        <v>46136</v>
      </c>
      <c r="D16" s="79" t="s">
        <v>343</v>
      </c>
      <c r="E16" s="47">
        <v>46136</v>
      </c>
      <c r="F16" s="51" t="s">
        <v>341</v>
      </c>
      <c r="G16" s="46" t="s">
        <v>391</v>
      </c>
      <c r="H16" s="50">
        <v>85</v>
      </c>
      <c r="I16" s="52" t="s">
        <v>162</v>
      </c>
    </row>
    <row r="17" spans="2:9" x14ac:dyDescent="0.35">
      <c r="B17" s="47" t="s">
        <v>94</v>
      </c>
      <c r="C17" s="47">
        <v>46141</v>
      </c>
      <c r="D17" s="274" t="s">
        <v>396</v>
      </c>
      <c r="E17" s="47">
        <v>46141</v>
      </c>
      <c r="F17" s="51" t="s">
        <v>392</v>
      </c>
      <c r="G17" s="275" t="s">
        <v>397</v>
      </c>
      <c r="H17" s="50">
        <v>1040</v>
      </c>
      <c r="I17" s="52" t="s">
        <v>162</v>
      </c>
    </row>
    <row r="18" spans="2:9" x14ac:dyDescent="0.35">
      <c r="B18" s="47" t="s">
        <v>94</v>
      </c>
      <c r="C18" s="47">
        <v>46142</v>
      </c>
      <c r="D18" s="79" t="s">
        <v>359</v>
      </c>
      <c r="E18" s="47">
        <v>46142</v>
      </c>
      <c r="F18" s="51" t="s">
        <v>398</v>
      </c>
      <c r="G18" s="46" t="s">
        <v>399</v>
      </c>
      <c r="H18" s="50">
        <v>720</v>
      </c>
      <c r="I18" s="52" t="s">
        <v>162</v>
      </c>
    </row>
    <row r="19" spans="2:9" x14ac:dyDescent="0.35">
      <c r="B19" s="47" t="s">
        <v>94</v>
      </c>
      <c r="C19" s="47">
        <v>46144</v>
      </c>
      <c r="D19" s="79">
        <v>46143</v>
      </c>
      <c r="E19" s="47">
        <v>46144</v>
      </c>
      <c r="F19" s="51" t="s">
        <v>71</v>
      </c>
      <c r="G19" s="46" t="s">
        <v>160</v>
      </c>
      <c r="H19" s="50">
        <v>65.16</v>
      </c>
      <c r="I19" s="52" t="s">
        <v>160</v>
      </c>
    </row>
    <row r="20" spans="2:9" x14ac:dyDescent="0.35">
      <c r="B20" s="47" t="s">
        <v>94</v>
      </c>
      <c r="C20" s="47"/>
      <c r="D20" s="79"/>
      <c r="E20" s="47"/>
      <c r="F20" s="51"/>
      <c r="G20" s="46"/>
      <c r="H20" s="50"/>
      <c r="I20" s="52"/>
    </row>
    <row r="21" spans="2:9" x14ac:dyDescent="0.35">
      <c r="B21" s="47" t="s">
        <v>94</v>
      </c>
      <c r="C21" s="47"/>
      <c r="D21" s="79"/>
      <c r="E21" s="47"/>
      <c r="F21" s="51"/>
      <c r="G21" s="46"/>
      <c r="H21" s="50"/>
      <c r="I21" s="52"/>
    </row>
    <row r="22" spans="2:9" x14ac:dyDescent="0.35">
      <c r="B22" s="47" t="s">
        <v>94</v>
      </c>
      <c r="C22" s="47"/>
      <c r="D22" s="79"/>
      <c r="E22" s="47"/>
      <c r="F22" s="51"/>
      <c r="G22" s="46"/>
      <c r="H22" s="50"/>
      <c r="I22" s="52"/>
    </row>
    <row r="23" spans="2:9" x14ac:dyDescent="0.35">
      <c r="B23" s="47" t="s">
        <v>94</v>
      </c>
      <c r="C23" s="47"/>
      <c r="D23" s="79"/>
      <c r="E23" s="47"/>
      <c r="F23" s="51"/>
      <c r="G23" s="46"/>
      <c r="H23" s="50"/>
      <c r="I23" s="52"/>
    </row>
    <row r="24" spans="2:9" x14ac:dyDescent="0.35">
      <c r="B24" s="47" t="s">
        <v>94</v>
      </c>
      <c r="C24" s="47"/>
      <c r="D24" s="79"/>
      <c r="E24" s="47"/>
      <c r="F24" s="51"/>
      <c r="G24" s="46"/>
      <c r="H24" s="50"/>
      <c r="I24" s="52"/>
    </row>
    <row r="25" spans="2:9" x14ac:dyDescent="0.35">
      <c r="B25" s="47" t="s">
        <v>94</v>
      </c>
      <c r="C25" s="47"/>
      <c r="D25" s="79"/>
      <c r="E25" s="47"/>
      <c r="F25" s="51"/>
      <c r="G25" s="46"/>
      <c r="H25" s="50"/>
      <c r="I25" s="52"/>
    </row>
    <row r="26" spans="2:9" x14ac:dyDescent="0.35">
      <c r="B26" s="47" t="s">
        <v>94</v>
      </c>
      <c r="C26" s="47"/>
      <c r="D26" s="79"/>
      <c r="E26" s="47"/>
      <c r="F26" s="51"/>
      <c r="G26" s="46"/>
      <c r="H26" s="50"/>
      <c r="I26" s="52"/>
    </row>
    <row r="27" spans="2:9" x14ac:dyDescent="0.35">
      <c r="B27" s="47" t="s">
        <v>94</v>
      </c>
      <c r="C27" s="47"/>
      <c r="D27" s="79"/>
      <c r="E27" s="47"/>
      <c r="F27" s="51"/>
      <c r="G27" s="46"/>
      <c r="H27" s="50"/>
      <c r="I27" s="52"/>
    </row>
    <row r="28" spans="2:9" x14ac:dyDescent="0.35">
      <c r="B28" s="47" t="s">
        <v>94</v>
      </c>
      <c r="C28" s="47"/>
      <c r="D28" s="79"/>
      <c r="E28" s="47"/>
      <c r="F28" s="51"/>
      <c r="G28" s="46"/>
      <c r="H28" s="50"/>
      <c r="I28" s="52"/>
    </row>
    <row r="29" spans="2:9" x14ac:dyDescent="0.35">
      <c r="B29" s="47" t="s">
        <v>94</v>
      </c>
      <c r="C29" s="47"/>
      <c r="D29" s="79"/>
      <c r="E29" s="47"/>
      <c r="F29" s="51"/>
      <c r="G29" s="46"/>
      <c r="H29" s="50"/>
      <c r="I29" s="52"/>
    </row>
    <row r="30" spans="2:9" x14ac:dyDescent="0.35">
      <c r="B30" s="47" t="s">
        <v>94</v>
      </c>
      <c r="C30" s="47"/>
      <c r="D30" s="79"/>
      <c r="E30" s="47"/>
      <c r="F30" s="51"/>
      <c r="G30" s="46"/>
      <c r="H30" s="50"/>
      <c r="I30" s="52"/>
    </row>
    <row r="31" spans="2:9" x14ac:dyDescent="0.35">
      <c r="B31" s="47" t="s">
        <v>94</v>
      </c>
      <c r="C31" s="47"/>
      <c r="D31" s="79"/>
      <c r="E31" s="47"/>
      <c r="F31" s="51"/>
      <c r="G31" s="46"/>
      <c r="H31" s="50"/>
      <c r="I31" s="52"/>
    </row>
    <row r="32" spans="2:9" x14ac:dyDescent="0.35">
      <c r="B32" s="47" t="s">
        <v>94</v>
      </c>
      <c r="C32" s="47"/>
      <c r="D32" s="79"/>
      <c r="E32" s="47"/>
      <c r="F32" s="51"/>
      <c r="G32" s="46"/>
      <c r="H32" s="50"/>
      <c r="I32" s="52"/>
    </row>
    <row r="33" spans="2:9" x14ac:dyDescent="0.35">
      <c r="B33" s="47" t="s">
        <v>94</v>
      </c>
      <c r="C33" s="47"/>
      <c r="D33" s="79"/>
      <c r="E33" s="47"/>
      <c r="F33" s="51"/>
      <c r="G33" s="46"/>
      <c r="H33" s="50"/>
      <c r="I33" s="52"/>
    </row>
    <row r="34" spans="2:9" x14ac:dyDescent="0.35">
      <c r="B34" s="47" t="s">
        <v>94</v>
      </c>
      <c r="C34" s="47"/>
      <c r="D34" s="79"/>
      <c r="E34" s="47"/>
      <c r="F34" s="51"/>
      <c r="G34" s="46"/>
      <c r="H34" s="50"/>
      <c r="I34" s="52"/>
    </row>
    <row r="35" spans="2:9" x14ac:dyDescent="0.35">
      <c r="B35" s="47" t="s">
        <v>94</v>
      </c>
      <c r="C35" s="47"/>
      <c r="D35" s="79"/>
      <c r="E35" s="47"/>
      <c r="F35" s="51"/>
      <c r="G35" s="46"/>
      <c r="H35" s="50"/>
      <c r="I35" s="52"/>
    </row>
    <row r="36" spans="2:9" x14ac:dyDescent="0.35">
      <c r="B36" s="47" t="s">
        <v>94</v>
      </c>
      <c r="C36" s="47"/>
      <c r="D36" s="79"/>
      <c r="E36" s="47"/>
      <c r="F36" s="51"/>
      <c r="G36" s="46"/>
      <c r="H36" s="50"/>
      <c r="I36" s="52"/>
    </row>
    <row r="37" spans="2:9" x14ac:dyDescent="0.35">
      <c r="B37" s="47" t="s">
        <v>94</v>
      </c>
      <c r="C37" s="47"/>
      <c r="D37" s="79"/>
      <c r="E37" s="47"/>
      <c r="F37" s="51"/>
      <c r="G37" s="46"/>
      <c r="H37" s="50"/>
      <c r="I37" s="52"/>
    </row>
    <row r="38" spans="2:9" x14ac:dyDescent="0.35">
      <c r="B38" s="47" t="s">
        <v>94</v>
      </c>
      <c r="C38" s="47"/>
      <c r="D38" s="79"/>
      <c r="E38" s="47"/>
      <c r="F38" s="51"/>
      <c r="G38" s="46"/>
      <c r="H38" s="50"/>
      <c r="I38" s="52"/>
    </row>
    <row r="39" spans="2:9" x14ac:dyDescent="0.35">
      <c r="B39" s="47" t="s">
        <v>94</v>
      </c>
      <c r="C39" s="47"/>
      <c r="D39" s="79"/>
      <c r="E39" s="47"/>
      <c r="F39" s="51"/>
      <c r="G39" s="46"/>
      <c r="H39" s="50"/>
      <c r="I39" s="52"/>
    </row>
    <row r="40" spans="2:9" x14ac:dyDescent="0.35">
      <c r="B40" s="47" t="s">
        <v>94</v>
      </c>
      <c r="C40" s="47"/>
      <c r="D40" s="79"/>
      <c r="E40" s="47"/>
      <c r="F40" s="51"/>
      <c r="G40" s="46"/>
      <c r="H40" s="50"/>
      <c r="I40" s="52"/>
    </row>
    <row r="41" spans="2:9" x14ac:dyDescent="0.35">
      <c r="B41" s="47" t="s">
        <v>94</v>
      </c>
      <c r="C41" s="47"/>
      <c r="D41" s="79"/>
      <c r="E41" s="47"/>
      <c r="F41" s="51"/>
      <c r="G41" s="46"/>
      <c r="H41" s="50"/>
      <c r="I41" s="52"/>
    </row>
    <row r="42" spans="2:9" x14ac:dyDescent="0.35">
      <c r="B42" s="47" t="s">
        <v>94</v>
      </c>
      <c r="C42" s="47"/>
      <c r="D42" s="79"/>
      <c r="E42" s="47"/>
      <c r="F42" s="51"/>
      <c r="G42" s="46"/>
      <c r="H42" s="50"/>
      <c r="I42" s="52"/>
    </row>
    <row r="43" spans="2:9" x14ac:dyDescent="0.35">
      <c r="B43" s="47" t="s">
        <v>94</v>
      </c>
      <c r="C43" s="47"/>
      <c r="D43" s="79"/>
      <c r="E43" s="47"/>
      <c r="F43" s="51"/>
      <c r="G43" s="46"/>
      <c r="H43" s="50"/>
      <c r="I43" s="52"/>
    </row>
    <row r="44" spans="2:9" x14ac:dyDescent="0.35">
      <c r="B44" s="47" t="s">
        <v>94</v>
      </c>
      <c r="C44" s="47"/>
      <c r="D44" s="79"/>
      <c r="E44" s="47"/>
      <c r="F44" s="51"/>
      <c r="G44" s="46"/>
      <c r="H44" s="50"/>
      <c r="I44" s="52"/>
    </row>
    <row r="45" spans="2:9" x14ac:dyDescent="0.35">
      <c r="B45" s="47" t="s">
        <v>94</v>
      </c>
      <c r="C45" s="47"/>
      <c r="D45" s="79"/>
      <c r="E45" s="47"/>
      <c r="F45" s="51"/>
      <c r="G45" s="46"/>
      <c r="H45" s="50"/>
      <c r="I45" s="52"/>
    </row>
    <row r="46" spans="2:9" x14ac:dyDescent="0.35">
      <c r="B46" s="47" t="s">
        <v>94</v>
      </c>
      <c r="C46" s="47"/>
      <c r="D46" s="79"/>
      <c r="E46" s="47"/>
      <c r="F46" s="51"/>
      <c r="G46" s="46"/>
      <c r="H46" s="50"/>
      <c r="I46" s="52"/>
    </row>
    <row r="47" spans="2:9" x14ac:dyDescent="0.35">
      <c r="B47" s="47" t="s">
        <v>94</v>
      </c>
      <c r="C47" s="47"/>
      <c r="D47" s="79"/>
      <c r="E47" s="47"/>
      <c r="F47" s="51"/>
      <c r="G47" s="46"/>
      <c r="H47" s="50"/>
      <c r="I47" s="52"/>
    </row>
    <row r="48" spans="2:9" x14ac:dyDescent="0.35">
      <c r="B48" s="47" t="s">
        <v>94</v>
      </c>
      <c r="C48" s="47"/>
      <c r="D48" s="79"/>
      <c r="E48" s="47"/>
      <c r="F48" s="51"/>
      <c r="G48" s="46"/>
      <c r="H48" s="50"/>
      <c r="I48" s="52"/>
    </row>
    <row r="49" spans="2:9" x14ac:dyDescent="0.35">
      <c r="B49" s="47" t="s">
        <v>94</v>
      </c>
      <c r="C49" s="47"/>
      <c r="D49" s="79"/>
      <c r="E49" s="47"/>
      <c r="F49" s="51"/>
      <c r="G49" s="46"/>
      <c r="H49" s="50"/>
      <c r="I49" s="52"/>
    </row>
    <row r="50" spans="2:9" x14ac:dyDescent="0.35">
      <c r="B50" s="47" t="s">
        <v>94</v>
      </c>
      <c r="C50" s="47"/>
      <c r="D50" s="79"/>
      <c r="E50" s="47"/>
      <c r="F50" s="51"/>
      <c r="G50" s="46"/>
      <c r="H50" s="50"/>
      <c r="I50" s="52"/>
    </row>
    <row r="51" spans="2:9" x14ac:dyDescent="0.35">
      <c r="B51" s="47" t="s">
        <v>94</v>
      </c>
      <c r="C51" s="47"/>
      <c r="D51" s="79"/>
      <c r="E51" s="47"/>
      <c r="F51" s="51"/>
      <c r="G51" s="46"/>
      <c r="H51" s="50"/>
      <c r="I51" s="52"/>
    </row>
    <row r="52" spans="2:9" x14ac:dyDescent="0.35">
      <c r="B52" s="47" t="s">
        <v>94</v>
      </c>
      <c r="C52" s="47"/>
      <c r="D52" s="79"/>
      <c r="E52" s="47"/>
      <c r="F52" s="51"/>
      <c r="G52" s="46"/>
      <c r="H52" s="50"/>
      <c r="I52" s="52"/>
    </row>
    <row r="53" spans="2:9" x14ac:dyDescent="0.35">
      <c r="B53" s="47" t="s">
        <v>94</v>
      </c>
      <c r="C53" s="47"/>
      <c r="D53" s="79"/>
      <c r="E53" s="47"/>
      <c r="F53" s="51"/>
      <c r="G53" s="46"/>
      <c r="H53" s="50"/>
      <c r="I53" s="52"/>
    </row>
    <row r="54" spans="2:9" x14ac:dyDescent="0.35">
      <c r="B54" s="47" t="s">
        <v>94</v>
      </c>
      <c r="C54" s="47"/>
      <c r="D54" s="79"/>
      <c r="E54" s="47"/>
      <c r="F54" s="51"/>
      <c r="G54" s="46"/>
      <c r="H54" s="50"/>
      <c r="I54" s="52"/>
    </row>
    <row r="55" spans="2:9" x14ac:dyDescent="0.35">
      <c r="B55" s="47" t="s">
        <v>94</v>
      </c>
      <c r="C55" s="47"/>
      <c r="D55" s="79"/>
      <c r="E55" s="47"/>
      <c r="F55" s="51"/>
      <c r="G55" s="46"/>
      <c r="H55" s="50"/>
      <c r="I55" s="52"/>
    </row>
    <row r="56" spans="2:9" x14ac:dyDescent="0.35">
      <c r="B56" s="47" t="s">
        <v>94</v>
      </c>
      <c r="C56" s="47"/>
      <c r="D56" s="79"/>
      <c r="E56" s="47"/>
      <c r="F56" s="51"/>
      <c r="G56" s="46"/>
      <c r="H56" s="50"/>
      <c r="I56" s="52"/>
    </row>
    <row r="57" spans="2:9" x14ac:dyDescent="0.35">
      <c r="B57" s="47" t="s">
        <v>94</v>
      </c>
      <c r="C57" s="47"/>
      <c r="D57" s="79"/>
      <c r="E57" s="47"/>
      <c r="F57" s="51"/>
      <c r="G57" s="46"/>
      <c r="H57" s="50"/>
      <c r="I57" s="52"/>
    </row>
    <row r="58" spans="2:9" x14ac:dyDescent="0.35">
      <c r="B58" s="47" t="s">
        <v>94</v>
      </c>
      <c r="C58" s="47"/>
      <c r="D58" s="79"/>
      <c r="E58" s="47"/>
      <c r="F58" s="51"/>
      <c r="G58" s="46"/>
      <c r="H58" s="50"/>
      <c r="I58" s="52"/>
    </row>
    <row r="59" spans="2:9" x14ac:dyDescent="0.35">
      <c r="B59" s="47" t="s">
        <v>94</v>
      </c>
      <c r="C59" s="47"/>
      <c r="D59" s="79"/>
      <c r="E59" s="47"/>
      <c r="F59" s="51"/>
      <c r="G59" s="46"/>
      <c r="H59" s="50"/>
      <c r="I59" s="52"/>
    </row>
    <row r="60" spans="2:9" x14ac:dyDescent="0.35">
      <c r="B60" s="47" t="s">
        <v>94</v>
      </c>
      <c r="C60" s="47"/>
      <c r="D60" s="79"/>
      <c r="E60" s="47"/>
      <c r="F60" s="51"/>
      <c r="G60" s="46"/>
      <c r="H60" s="50"/>
      <c r="I60" s="52"/>
    </row>
    <row r="61" spans="2:9" x14ac:dyDescent="0.35">
      <c r="B61" s="47" t="s">
        <v>94</v>
      </c>
      <c r="C61" s="47"/>
      <c r="D61" s="79"/>
      <c r="E61" s="47"/>
      <c r="F61" s="51"/>
      <c r="G61" s="46"/>
      <c r="H61" s="50"/>
      <c r="I61" s="52"/>
    </row>
    <row r="62" spans="2:9" x14ac:dyDescent="0.35">
      <c r="B62" s="47" t="s">
        <v>94</v>
      </c>
      <c r="C62" s="47"/>
      <c r="D62" s="79"/>
      <c r="E62" s="47"/>
      <c r="F62" s="51"/>
      <c r="G62" s="46"/>
      <c r="H62" s="50"/>
      <c r="I62" s="52"/>
    </row>
    <row r="63" spans="2:9" x14ac:dyDescent="0.35">
      <c r="B63" s="47" t="s">
        <v>94</v>
      </c>
      <c r="C63" s="47"/>
      <c r="D63" s="79"/>
      <c r="E63" s="47"/>
      <c r="F63" s="51"/>
      <c r="G63" s="46"/>
      <c r="H63" s="50"/>
      <c r="I63" s="52"/>
    </row>
    <row r="64" spans="2:9" x14ac:dyDescent="0.35">
      <c r="B64" s="47" t="s">
        <v>94</v>
      </c>
      <c r="C64" s="47"/>
      <c r="D64" s="79"/>
      <c r="E64" s="47"/>
      <c r="F64" s="51"/>
      <c r="G64" s="46"/>
      <c r="H64" s="50"/>
      <c r="I64" s="52"/>
    </row>
  </sheetData>
  <mergeCells count="2">
    <mergeCell ref="B1:I1"/>
    <mergeCell ref="B2:I2"/>
  </mergeCells>
  <pageMargins left="0.59055118110236227" right="0.59055118110236227" top="0.59055118110236227" bottom="0.59055118110236227" header="0.27559055118110237" footer="0.27559055118110237"/>
  <pageSetup paperSize="9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59999389629810485"/>
  </sheetPr>
  <dimension ref="B1:Y29"/>
  <sheetViews>
    <sheetView showGridLines="0" zoomScaleNormal="100" workbookViewId="0">
      <pane ySplit="5" topLeftCell="A6" activePane="bottomLeft" state="frozen"/>
      <selection pane="bottomLeft" activeCell="F27" sqref="F27"/>
    </sheetView>
  </sheetViews>
  <sheetFormatPr defaultColWidth="8.81640625" defaultRowHeight="13" x14ac:dyDescent="0.35"/>
  <cols>
    <col min="1" max="1" width="2.1796875" style="33" customWidth="1"/>
    <col min="2" max="2" width="10.1796875" style="33" customWidth="1"/>
    <col min="3" max="3" width="14.81640625" style="33" bestFit="1" customWidth="1"/>
    <col min="4" max="4" width="14.1796875" style="33" bestFit="1" customWidth="1"/>
    <col min="5" max="5" width="9.81640625" style="33" bestFit="1" customWidth="1"/>
    <col min="6" max="6" width="35.1796875" style="33" customWidth="1"/>
    <col min="7" max="16384" width="8.81640625" style="33"/>
  </cols>
  <sheetData>
    <row r="1" spans="2:25" s="83" customFormat="1" x14ac:dyDescent="0.35">
      <c r="B1" s="327" t="str">
        <f>SETUP!C4&amp;" Parish Council"</f>
        <v>Barnton Parish Council</v>
      </c>
      <c r="C1" s="327"/>
      <c r="D1" s="327"/>
      <c r="E1" s="327"/>
      <c r="F1" s="327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</row>
    <row r="2" spans="2:25" s="83" customFormat="1" x14ac:dyDescent="0.35">
      <c r="B2" s="327" t="s">
        <v>139</v>
      </c>
      <c r="C2" s="327"/>
      <c r="D2" s="327"/>
      <c r="E2" s="327"/>
      <c r="F2" s="327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</row>
    <row r="3" spans="2:25" ht="12" customHeight="1" x14ac:dyDescent="0.35"/>
    <row r="4" spans="2:25" x14ac:dyDescent="0.35">
      <c r="B4" s="63" t="s">
        <v>71</v>
      </c>
      <c r="C4" s="38" t="s">
        <v>140</v>
      </c>
      <c r="D4" s="38" t="s">
        <v>141</v>
      </c>
      <c r="E4" s="61" t="s">
        <v>13</v>
      </c>
      <c r="F4" s="61" t="s">
        <v>7</v>
      </c>
    </row>
    <row r="5" spans="2:25" x14ac:dyDescent="0.35">
      <c r="B5" s="70" t="s">
        <v>12</v>
      </c>
      <c r="C5" s="43" t="s">
        <v>6</v>
      </c>
      <c r="D5" s="43" t="s">
        <v>6</v>
      </c>
      <c r="E5" s="68"/>
      <c r="F5" s="68"/>
    </row>
    <row r="6" spans="2:25" x14ac:dyDescent="0.3">
      <c r="B6" s="47">
        <v>46125</v>
      </c>
      <c r="C6" s="84" t="s">
        <v>268</v>
      </c>
      <c r="D6" s="84" t="s">
        <v>154</v>
      </c>
      <c r="E6" s="85">
        <v>96300</v>
      </c>
      <c r="F6" s="86" t="s">
        <v>269</v>
      </c>
    </row>
    <row r="7" spans="2:25" x14ac:dyDescent="0.3">
      <c r="B7" s="47">
        <v>46125</v>
      </c>
      <c r="C7" s="84" t="s">
        <v>268</v>
      </c>
      <c r="D7" s="84" t="s">
        <v>58</v>
      </c>
      <c r="E7" s="85">
        <v>26250</v>
      </c>
      <c r="F7" s="86" t="s">
        <v>269</v>
      </c>
    </row>
    <row r="8" spans="2:25" x14ac:dyDescent="0.3">
      <c r="B8" s="47">
        <v>46141</v>
      </c>
      <c r="C8" s="84" t="s">
        <v>268</v>
      </c>
      <c r="D8" s="84" t="s">
        <v>58</v>
      </c>
      <c r="E8" s="85">
        <v>6881.65</v>
      </c>
      <c r="F8" s="86" t="s">
        <v>395</v>
      </c>
    </row>
    <row r="9" spans="2:25" x14ac:dyDescent="0.3">
      <c r="B9" s="47"/>
      <c r="C9" s="84"/>
      <c r="D9" s="84"/>
      <c r="E9" s="85"/>
      <c r="F9" s="86"/>
    </row>
    <row r="10" spans="2:25" x14ac:dyDescent="0.3">
      <c r="B10" s="47"/>
      <c r="C10" s="84"/>
      <c r="D10" s="84"/>
      <c r="E10" s="85"/>
      <c r="F10" s="86"/>
    </row>
    <row r="11" spans="2:25" x14ac:dyDescent="0.3">
      <c r="B11" s="47"/>
      <c r="C11" s="84"/>
      <c r="D11" s="84"/>
      <c r="E11" s="85"/>
      <c r="F11" s="86"/>
    </row>
    <row r="12" spans="2:25" x14ac:dyDescent="0.3">
      <c r="B12" s="47"/>
      <c r="C12" s="84"/>
      <c r="D12" s="84"/>
      <c r="E12" s="85"/>
      <c r="F12" s="86"/>
    </row>
    <row r="13" spans="2:25" x14ac:dyDescent="0.3">
      <c r="B13" s="47"/>
      <c r="C13" s="84"/>
      <c r="D13" s="84"/>
      <c r="E13" s="85"/>
      <c r="F13" s="86"/>
    </row>
    <row r="14" spans="2:25" x14ac:dyDescent="0.3">
      <c r="B14" s="47"/>
      <c r="C14" s="84"/>
      <c r="D14" s="84"/>
      <c r="E14" s="85"/>
      <c r="F14" s="86"/>
    </row>
    <row r="15" spans="2:25" x14ac:dyDescent="0.3">
      <c r="B15" s="47"/>
      <c r="C15" s="84"/>
      <c r="D15" s="84"/>
      <c r="E15" s="85"/>
      <c r="F15" s="86"/>
    </row>
    <row r="16" spans="2:25" x14ac:dyDescent="0.3">
      <c r="B16" s="47"/>
      <c r="C16" s="84"/>
      <c r="D16" s="84"/>
      <c r="E16" s="85"/>
      <c r="F16" s="86"/>
    </row>
    <row r="17" spans="2:6" x14ac:dyDescent="0.3">
      <c r="B17" s="47"/>
      <c r="C17" s="84"/>
      <c r="D17" s="84"/>
      <c r="E17" s="85"/>
      <c r="F17" s="86"/>
    </row>
    <row r="18" spans="2:6" x14ac:dyDescent="0.3">
      <c r="B18" s="47"/>
      <c r="C18" s="84"/>
      <c r="D18" s="84"/>
      <c r="E18" s="85"/>
      <c r="F18" s="86"/>
    </row>
    <row r="19" spans="2:6" x14ac:dyDescent="0.3">
      <c r="B19" s="47"/>
      <c r="C19" s="84"/>
      <c r="D19" s="84"/>
      <c r="E19" s="85"/>
      <c r="F19" s="86"/>
    </row>
    <row r="20" spans="2:6" x14ac:dyDescent="0.3">
      <c r="B20" s="47"/>
      <c r="C20" s="84"/>
      <c r="D20" s="84"/>
      <c r="E20" s="85"/>
      <c r="F20" s="86"/>
    </row>
    <row r="21" spans="2:6" x14ac:dyDescent="0.3">
      <c r="B21" s="47"/>
      <c r="C21" s="84"/>
      <c r="D21" s="84"/>
      <c r="E21" s="85"/>
      <c r="F21" s="86"/>
    </row>
    <row r="22" spans="2:6" x14ac:dyDescent="0.3">
      <c r="B22" s="47"/>
      <c r="C22" s="84"/>
      <c r="D22" s="84"/>
      <c r="E22" s="85"/>
      <c r="F22" s="86"/>
    </row>
    <row r="23" spans="2:6" x14ac:dyDescent="0.3">
      <c r="B23" s="47"/>
      <c r="C23" s="84"/>
      <c r="D23" s="84"/>
      <c r="E23" s="85"/>
      <c r="F23" s="86"/>
    </row>
    <row r="24" spans="2:6" x14ac:dyDescent="0.3">
      <c r="B24" s="47"/>
      <c r="C24" s="84"/>
      <c r="D24" s="84"/>
      <c r="E24" s="85"/>
      <c r="F24" s="86"/>
    </row>
    <row r="25" spans="2:6" x14ac:dyDescent="0.3">
      <c r="B25" s="47"/>
      <c r="C25" s="84"/>
      <c r="D25" s="84"/>
      <c r="E25" s="85"/>
      <c r="F25" s="86"/>
    </row>
    <row r="26" spans="2:6" x14ac:dyDescent="0.3">
      <c r="B26" s="47"/>
      <c r="C26" s="84"/>
      <c r="D26" s="84"/>
      <c r="E26" s="85"/>
      <c r="F26" s="86"/>
    </row>
    <row r="27" spans="2:6" x14ac:dyDescent="0.3">
      <c r="B27" s="47"/>
      <c r="C27" s="84"/>
      <c r="D27" s="84"/>
      <c r="E27" s="85"/>
      <c r="F27" s="86"/>
    </row>
    <row r="28" spans="2:6" x14ac:dyDescent="0.3">
      <c r="B28" s="47"/>
      <c r="C28" s="84"/>
      <c r="D28" s="84"/>
      <c r="E28" s="85"/>
      <c r="F28" s="86"/>
    </row>
    <row r="29" spans="2:6" x14ac:dyDescent="0.3">
      <c r="B29" s="47"/>
      <c r="C29" s="84"/>
      <c r="D29" s="84"/>
      <c r="E29" s="85"/>
      <c r="F29" s="86"/>
    </row>
  </sheetData>
  <mergeCells count="2">
    <mergeCell ref="B1:F1"/>
    <mergeCell ref="B2:F2"/>
  </mergeCells>
  <pageMargins left="0.59055118110236227" right="0.59055118110236227" top="0.59055118110236227" bottom="0.59055118110236227" header="0.27559055118110237" footer="0.27559055118110237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  <pageSetUpPr fitToPage="1"/>
  </sheetPr>
  <dimension ref="A1:S21"/>
  <sheetViews>
    <sheetView showGridLines="0" zoomScale="110" zoomScaleNormal="110" workbookViewId="0">
      <selection activeCell="E7" sqref="E7"/>
    </sheetView>
  </sheetViews>
  <sheetFormatPr defaultColWidth="8.81640625" defaultRowHeight="13" x14ac:dyDescent="0.35"/>
  <cols>
    <col min="1" max="1" width="2.1796875" style="137" customWidth="1"/>
    <col min="2" max="2" width="3" style="33" bestFit="1" customWidth="1"/>
    <col min="3" max="3" width="25.1796875" style="33" bestFit="1" customWidth="1"/>
    <col min="4" max="5" width="9.1796875" style="223" customWidth="1"/>
    <col min="6" max="6" width="8.453125" style="223" bestFit="1" customWidth="1"/>
    <col min="7" max="7" width="6.81640625" style="223" bestFit="1" customWidth="1"/>
    <col min="8" max="8" width="55.1796875" style="223" bestFit="1" customWidth="1"/>
    <col min="9" max="9" width="86" style="37" bestFit="1" customWidth="1"/>
    <col min="10" max="16384" width="8.81640625" style="33"/>
  </cols>
  <sheetData>
    <row r="1" spans="1:19" s="222" customFormat="1" x14ac:dyDescent="0.35">
      <c r="A1" s="207"/>
      <c r="B1" s="30" t="str">
        <f>SETUP!C4&amp;" Parish Council"</f>
        <v>Barnton Parish Council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s="222" customFormat="1" x14ac:dyDescent="0.35">
      <c r="A2" s="207"/>
      <c r="B2" s="30" t="s">
        <v>142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4" spans="1:19" x14ac:dyDescent="0.35">
      <c r="A4" s="33"/>
      <c r="C4" s="224"/>
      <c r="D4" s="328" t="s">
        <v>57</v>
      </c>
      <c r="E4" s="328"/>
      <c r="F4" s="328" t="s">
        <v>56</v>
      </c>
      <c r="G4" s="328"/>
      <c r="H4" s="328"/>
      <c r="I4" s="225" t="s">
        <v>55</v>
      </c>
    </row>
    <row r="5" spans="1:19" x14ac:dyDescent="0.3">
      <c r="A5" s="11"/>
      <c r="C5" s="224"/>
      <c r="D5" s="226" t="s">
        <v>82</v>
      </c>
      <c r="E5" s="226" t="s">
        <v>82</v>
      </c>
      <c r="F5" s="227" t="s">
        <v>54</v>
      </c>
      <c r="G5" s="228" t="s">
        <v>53</v>
      </c>
      <c r="H5" s="227" t="s">
        <v>52</v>
      </c>
      <c r="I5" s="229" t="s">
        <v>83</v>
      </c>
    </row>
    <row r="6" spans="1:19" x14ac:dyDescent="0.3">
      <c r="A6" s="11"/>
      <c r="C6" s="224"/>
      <c r="D6" s="230">
        <f>YEAR(SETUP!C10)</f>
        <v>2026</v>
      </c>
      <c r="E6" s="230">
        <f>D6+1</f>
        <v>2027</v>
      </c>
      <c r="F6" s="231"/>
      <c r="G6" s="232"/>
      <c r="H6" s="231"/>
      <c r="I6" s="233" t="s">
        <v>84</v>
      </c>
    </row>
    <row r="7" spans="1:19" ht="26" x14ac:dyDescent="0.35">
      <c r="B7" s="198">
        <v>1</v>
      </c>
      <c r="C7" s="203" t="s">
        <v>51</v>
      </c>
      <c r="D7" s="234">
        <v>84420</v>
      </c>
      <c r="E7" s="235">
        <f>SETUP!C21</f>
        <v>53394.369999999995</v>
      </c>
      <c r="F7" s="235">
        <f t="shared" ref="F7:F17" si="0">E7-D7</f>
        <v>-31025.630000000005</v>
      </c>
      <c r="G7" s="236">
        <f>IF(D7=0,"",IF(F7=0,0,ABS(F7)/D7))</f>
        <v>0.36751516228381903</v>
      </c>
      <c r="H7" s="237" t="s">
        <v>59</v>
      </c>
      <c r="I7" s="238" t="s">
        <v>50</v>
      </c>
    </row>
    <row r="8" spans="1:19" ht="26" x14ac:dyDescent="0.35">
      <c r="B8" s="198">
        <v>2</v>
      </c>
      <c r="C8" s="203" t="s">
        <v>49</v>
      </c>
      <c r="D8" s="234">
        <v>110475</v>
      </c>
      <c r="E8" s="235">
        <f>SUMIF(Receipts!I:I,"Precept",Receipts!H:H)</f>
        <v>155713</v>
      </c>
      <c r="F8" s="235">
        <f t="shared" si="0"/>
        <v>45238</v>
      </c>
      <c r="G8" s="236">
        <f t="shared" ref="G8:G17" si="1">IF(D8=0,"",IF(F8=0,0,ABS(F8)/D8))</f>
        <v>0.40948630911971035</v>
      </c>
      <c r="H8" s="237"/>
      <c r="I8" s="238" t="s">
        <v>48</v>
      </c>
    </row>
    <row r="9" spans="1:19" ht="26" x14ac:dyDescent="0.35">
      <c r="B9" s="198">
        <v>3</v>
      </c>
      <c r="C9" s="203" t="s">
        <v>47</v>
      </c>
      <c r="D9" s="234">
        <v>47275</v>
      </c>
      <c r="E9" s="235">
        <f>SUM(Receipts!H:H)-E8</f>
        <v>15029.989999999991</v>
      </c>
      <c r="F9" s="235">
        <f t="shared" si="0"/>
        <v>-32245.010000000009</v>
      </c>
      <c r="G9" s="236">
        <f t="shared" si="1"/>
        <v>0.6820731887890007</v>
      </c>
      <c r="H9" s="237"/>
      <c r="I9" s="238" t="s">
        <v>46</v>
      </c>
    </row>
    <row r="10" spans="1:19" ht="27.65" customHeight="1" x14ac:dyDescent="0.35">
      <c r="B10" s="198">
        <v>4</v>
      </c>
      <c r="C10" s="203" t="s">
        <v>45</v>
      </c>
      <c r="D10" s="234">
        <v>92318</v>
      </c>
      <c r="E10" s="235">
        <v>94981</v>
      </c>
      <c r="F10" s="235">
        <f t="shared" si="0"/>
        <v>2663</v>
      </c>
      <c r="G10" s="236">
        <f t="shared" si="1"/>
        <v>2.8845945536081805E-2</v>
      </c>
      <c r="H10" s="237"/>
      <c r="I10" s="238" t="s">
        <v>44</v>
      </c>
    </row>
    <row r="11" spans="1:19" ht="26" x14ac:dyDescent="0.35">
      <c r="B11" s="198">
        <v>5</v>
      </c>
      <c r="C11" s="238" t="s">
        <v>43</v>
      </c>
      <c r="D11" s="234">
        <v>0</v>
      </c>
      <c r="E11" s="235">
        <v>0</v>
      </c>
      <c r="F11" s="235">
        <f t="shared" si="0"/>
        <v>0</v>
      </c>
      <c r="G11" s="236" t="str">
        <f t="shared" si="1"/>
        <v/>
      </c>
      <c r="H11" s="237"/>
      <c r="I11" s="238" t="s">
        <v>42</v>
      </c>
    </row>
    <row r="12" spans="1:19" ht="27.65" customHeight="1" x14ac:dyDescent="0.35">
      <c r="B12" s="198">
        <v>6</v>
      </c>
      <c r="C12" s="203" t="s">
        <v>41</v>
      </c>
      <c r="D12" s="234">
        <v>70081</v>
      </c>
      <c r="E12" s="235">
        <f>SUM(Payments!J:J)-E10-E11</f>
        <v>-53006.80000000001</v>
      </c>
      <c r="F12" s="235">
        <f t="shared" si="0"/>
        <v>-123087.80000000002</v>
      </c>
      <c r="G12" s="236">
        <f t="shared" si="1"/>
        <v>1.756364777899859</v>
      </c>
      <c r="H12" s="237"/>
      <c r="I12" s="238" t="s">
        <v>114</v>
      </c>
    </row>
    <row r="13" spans="1:19" ht="27.65" customHeight="1" x14ac:dyDescent="0.35">
      <c r="B13" s="198">
        <v>7</v>
      </c>
      <c r="C13" s="203" t="s">
        <v>40</v>
      </c>
      <c r="D13" s="234">
        <v>79771</v>
      </c>
      <c r="E13" s="235">
        <f>E7+E8+E9-E10-E11-E12</f>
        <v>182163.16</v>
      </c>
      <c r="F13" s="235">
        <f t="shared" si="0"/>
        <v>102392.16</v>
      </c>
      <c r="G13" s="236">
        <f t="shared" si="1"/>
        <v>1.2835762369783505</v>
      </c>
      <c r="H13" s="237" t="s">
        <v>59</v>
      </c>
      <c r="I13" s="238" t="s">
        <v>39</v>
      </c>
    </row>
    <row r="14" spans="1:19" x14ac:dyDescent="0.35">
      <c r="B14" s="239"/>
      <c r="C14" s="240"/>
      <c r="D14" s="241"/>
      <c r="E14" s="242"/>
      <c r="F14" s="242"/>
      <c r="G14" s="243"/>
      <c r="H14" s="244"/>
      <c r="I14" s="245"/>
    </row>
    <row r="15" spans="1:19" ht="26" x14ac:dyDescent="0.35">
      <c r="B15" s="198">
        <v>8</v>
      </c>
      <c r="C15" s="238" t="s">
        <v>38</v>
      </c>
      <c r="D15" s="235">
        <v>79771</v>
      </c>
      <c r="E15" s="235">
        <f>Summaries!D8</f>
        <v>182163.16</v>
      </c>
      <c r="F15" s="235">
        <f t="shared" si="0"/>
        <v>102392.16</v>
      </c>
      <c r="G15" s="236">
        <f t="shared" si="1"/>
        <v>1.2835762369783505</v>
      </c>
      <c r="H15" s="237" t="s">
        <v>59</v>
      </c>
      <c r="I15" s="238" t="s">
        <v>225</v>
      </c>
    </row>
    <row r="16" spans="1:19" ht="26" x14ac:dyDescent="0.35">
      <c r="B16" s="198">
        <v>9</v>
      </c>
      <c r="C16" s="238" t="s">
        <v>37</v>
      </c>
      <c r="D16" s="234">
        <v>514440</v>
      </c>
      <c r="E16" s="235">
        <v>514440</v>
      </c>
      <c r="F16" s="235">
        <f>Assets!J6</f>
        <v>541010</v>
      </c>
      <c r="G16" s="236">
        <f t="shared" si="1"/>
        <v>1.0516483943705777</v>
      </c>
      <c r="H16" s="237"/>
      <c r="I16" s="238" t="s">
        <v>36</v>
      </c>
    </row>
    <row r="17" spans="2:9" ht="27.65" customHeight="1" x14ac:dyDescent="0.35">
      <c r="B17" s="198">
        <v>10</v>
      </c>
      <c r="C17" s="203" t="s">
        <v>35</v>
      </c>
      <c r="D17" s="234"/>
      <c r="E17" s="235">
        <v>0</v>
      </c>
      <c r="F17" s="235">
        <f t="shared" si="0"/>
        <v>0</v>
      </c>
      <c r="G17" s="236" t="str">
        <f t="shared" si="1"/>
        <v/>
      </c>
      <c r="H17" s="237"/>
      <c r="I17" s="238" t="s">
        <v>34</v>
      </c>
    </row>
    <row r="19" spans="2:9" x14ac:dyDescent="0.3">
      <c r="H19" s="180" t="s">
        <v>60</v>
      </c>
    </row>
    <row r="20" spans="2:9" x14ac:dyDescent="0.3">
      <c r="H20" s="180" t="s">
        <v>61</v>
      </c>
    </row>
    <row r="21" spans="2:9" x14ac:dyDescent="0.3">
      <c r="H21" s="180" t="s">
        <v>62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2">
    <mergeCell ref="D4:E4"/>
    <mergeCell ref="F4:H4"/>
  </mergeCells>
  <conditionalFormatting sqref="G7:G17">
    <cfRule type="cellIs" dxfId="5" priority="1" operator="lessThan">
      <formula>0</formula>
    </cfRule>
  </conditionalFormatting>
  <pageMargins left="0.7" right="0.7" top="0.75" bottom="0.75" header="0.3" footer="0.3"/>
  <pageSetup paperSize="9" fitToHeight="0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  <pageSetUpPr fitToPage="1"/>
  </sheetPr>
  <dimension ref="A1:U39"/>
  <sheetViews>
    <sheetView showGridLines="0" zoomScale="104" zoomScaleNormal="104" workbookViewId="0">
      <selection activeCell="F18" sqref="F18"/>
    </sheetView>
  </sheetViews>
  <sheetFormatPr defaultColWidth="8.81640625" defaultRowHeight="13" x14ac:dyDescent="0.35"/>
  <cols>
    <col min="1" max="1" width="2.1796875" style="137" customWidth="1"/>
    <col min="2" max="2" width="11.1796875" style="138" customWidth="1"/>
    <col min="3" max="3" width="10.1796875" style="137" bestFit="1" customWidth="1"/>
    <col min="4" max="4" width="10.54296875" style="137" bestFit="1" customWidth="1"/>
    <col min="5" max="7" width="10.1796875" style="137" bestFit="1" customWidth="1"/>
    <col min="8" max="8" width="9.81640625" style="137" bestFit="1" customWidth="1"/>
    <col min="9" max="9" width="5.81640625" style="138" bestFit="1" customWidth="1"/>
    <col min="10" max="10" width="2.1796875" style="137" customWidth="1"/>
    <col min="11" max="11" width="10.54296875" style="138" bestFit="1" customWidth="1"/>
    <col min="12" max="12" width="7.54296875" style="137" bestFit="1" customWidth="1"/>
    <col min="13" max="13" width="10.54296875" style="137" bestFit="1" customWidth="1"/>
    <col min="14" max="14" width="9.1796875" style="137" bestFit="1" customWidth="1"/>
    <col min="15" max="15" width="8.1796875" style="137" bestFit="1" customWidth="1"/>
    <col min="16" max="17" width="9.1796875" style="137" bestFit="1" customWidth="1"/>
    <col min="18" max="18" width="5.81640625" style="138" bestFit="1" customWidth="1"/>
    <col min="19" max="16384" width="8.81640625" style="137"/>
  </cols>
  <sheetData>
    <row r="1" spans="1:21" s="32" customFormat="1" x14ac:dyDescent="0.35">
      <c r="B1" s="133" t="str">
        <f>SETUP!C4&amp;" Parish Council"</f>
        <v>Barnton Parish Council</v>
      </c>
      <c r="C1" s="134"/>
      <c r="D1" s="134"/>
      <c r="E1" s="134"/>
      <c r="F1" s="134"/>
      <c r="G1" s="134"/>
      <c r="H1" s="134"/>
      <c r="I1" s="134"/>
      <c r="J1" s="134"/>
      <c r="K1" s="135"/>
      <c r="L1" s="134"/>
      <c r="M1" s="134"/>
      <c r="N1" s="134"/>
      <c r="O1" s="134"/>
      <c r="P1" s="134"/>
      <c r="Q1" s="134"/>
      <c r="R1" s="134"/>
      <c r="S1" s="134"/>
      <c r="T1" s="134"/>
      <c r="U1" s="134"/>
    </row>
    <row r="2" spans="1:21" s="32" customFormat="1" x14ac:dyDescent="0.35">
      <c r="B2" s="133" t="s">
        <v>143</v>
      </c>
      <c r="C2" s="134"/>
      <c r="D2" s="134"/>
      <c r="E2" s="134"/>
      <c r="F2" s="134"/>
      <c r="G2" s="134"/>
      <c r="H2" s="134"/>
      <c r="I2" s="134"/>
      <c r="J2" s="134"/>
      <c r="K2" s="135"/>
      <c r="L2" s="134"/>
      <c r="M2" s="134"/>
      <c r="N2" s="134"/>
      <c r="O2" s="134"/>
      <c r="P2" s="134"/>
      <c r="Q2" s="134"/>
      <c r="R2" s="134"/>
      <c r="S2" s="134"/>
      <c r="T2" s="134"/>
      <c r="U2" s="134"/>
    </row>
    <row r="3" spans="1:21" s="32" customFormat="1" ht="12" customHeight="1" x14ac:dyDescent="0.35">
      <c r="B3" s="135"/>
      <c r="C3" s="134"/>
      <c r="D3" s="134"/>
      <c r="E3" s="134"/>
      <c r="F3" s="134"/>
      <c r="G3" s="134"/>
      <c r="H3" s="134"/>
      <c r="I3" s="134"/>
      <c r="J3" s="134"/>
      <c r="K3" s="135"/>
      <c r="L3" s="134"/>
      <c r="M3" s="134"/>
      <c r="N3" s="134"/>
      <c r="O3" s="134"/>
      <c r="P3" s="134"/>
      <c r="Q3" s="134"/>
      <c r="R3" s="134"/>
      <c r="S3" s="134"/>
      <c r="T3" s="134"/>
      <c r="U3" s="134"/>
    </row>
    <row r="4" spans="1:21" s="122" customFormat="1" x14ac:dyDescent="0.35">
      <c r="A4" s="33"/>
      <c r="B4" s="136"/>
      <c r="C4" s="330" t="str">
        <f>SETUP!B18</f>
        <v>Current</v>
      </c>
      <c r="D4" s="330"/>
      <c r="E4" s="330"/>
      <c r="F4" s="330"/>
      <c r="G4" s="330"/>
      <c r="H4" s="330"/>
      <c r="I4" s="330"/>
      <c r="J4" s="33"/>
      <c r="K4" s="136"/>
      <c r="L4" s="331" t="str">
        <f>SETUP!B19</f>
        <v>Reserve</v>
      </c>
      <c r="M4" s="331"/>
      <c r="N4" s="331"/>
      <c r="O4" s="331"/>
      <c r="P4" s="331"/>
      <c r="Q4" s="331"/>
      <c r="R4" s="331"/>
    </row>
    <row r="5" spans="1:21" s="139" customFormat="1" ht="12" customHeight="1" x14ac:dyDescent="0.35">
      <c r="A5" s="137"/>
      <c r="B5" s="138"/>
      <c r="C5" s="104" t="s">
        <v>18</v>
      </c>
      <c r="D5" s="104" t="s">
        <v>17</v>
      </c>
      <c r="E5" s="104" t="s">
        <v>74</v>
      </c>
      <c r="F5" s="104" t="s">
        <v>74</v>
      </c>
      <c r="G5" s="104" t="s">
        <v>75</v>
      </c>
      <c r="H5" s="104" t="s">
        <v>71</v>
      </c>
      <c r="I5" s="104" t="s">
        <v>71</v>
      </c>
      <c r="J5" s="137"/>
      <c r="K5" s="138"/>
      <c r="L5" s="104" t="s">
        <v>18</v>
      </c>
      <c r="M5" s="104" t="s">
        <v>17</v>
      </c>
      <c r="N5" s="104" t="s">
        <v>74</v>
      </c>
      <c r="O5" s="104" t="s">
        <v>74</v>
      </c>
      <c r="P5" s="104" t="s">
        <v>75</v>
      </c>
      <c r="Q5" s="104" t="s">
        <v>71</v>
      </c>
      <c r="R5" s="104" t="s">
        <v>71</v>
      </c>
    </row>
    <row r="6" spans="1:21" s="139" customFormat="1" ht="12" customHeight="1" x14ac:dyDescent="0.35">
      <c r="A6" s="137"/>
      <c r="B6" s="138"/>
      <c r="C6" s="106"/>
      <c r="D6" s="106"/>
      <c r="E6" s="106" t="s">
        <v>76</v>
      </c>
      <c r="F6" s="106" t="s">
        <v>77</v>
      </c>
      <c r="G6" s="106" t="s">
        <v>30</v>
      </c>
      <c r="H6" s="106" t="s">
        <v>78</v>
      </c>
      <c r="I6" s="106" t="s">
        <v>79</v>
      </c>
      <c r="J6" s="137"/>
      <c r="K6" s="138"/>
      <c r="L6" s="106"/>
      <c r="M6" s="106"/>
      <c r="N6" s="106" t="s">
        <v>76</v>
      </c>
      <c r="O6" s="106" t="s">
        <v>77</v>
      </c>
      <c r="P6" s="106" t="s">
        <v>30</v>
      </c>
      <c r="Q6" s="106" t="s">
        <v>78</v>
      </c>
      <c r="R6" s="106" t="s">
        <v>79</v>
      </c>
    </row>
    <row r="7" spans="1:21" s="139" customFormat="1" x14ac:dyDescent="0.35">
      <c r="A7" s="137"/>
      <c r="B7" s="148" t="s">
        <v>33</v>
      </c>
      <c r="C7" s="140"/>
      <c r="D7" s="141"/>
      <c r="E7" s="141"/>
      <c r="F7" s="141"/>
      <c r="G7" s="116">
        <f>VLOOKUP(C4,SETUP!B:C,2,FALSE)</f>
        <v>8939.82</v>
      </c>
      <c r="H7" s="116"/>
      <c r="I7" s="142" t="str">
        <f>IF(OR(G7="",H7=""),"",IF(G7=H7,"ü", "û"))</f>
        <v/>
      </c>
      <c r="J7" s="137"/>
      <c r="K7" s="148" t="s">
        <v>33</v>
      </c>
      <c r="L7" s="140"/>
      <c r="M7" s="140"/>
      <c r="N7" s="141"/>
      <c r="O7" s="141"/>
      <c r="P7" s="116">
        <f>VLOOKUP(L4,SETUP!B:C,2,FALSE)</f>
        <v>38070.6</v>
      </c>
      <c r="Q7" s="116"/>
      <c r="R7" s="142" t="str">
        <f>IF(OR(P7="",Q7=""),"",IF(P7=Q7,"ü", "û"))</f>
        <v/>
      </c>
    </row>
    <row r="8" spans="1:21" x14ac:dyDescent="0.35">
      <c r="B8" s="149">
        <f>SETUP!C10</f>
        <v>46113</v>
      </c>
      <c r="C8" s="143">
        <f>SUMIFS(Receipts!H:H,Receipts!B:B,$C$4,Receipts!E:E,"&gt;="&amp;B8,Receipts!E:E,"&lt;"&amp;EDATE(B8,1))</f>
        <v>170677.83</v>
      </c>
      <c r="D8" s="116">
        <f>SUMIFS(Payments!J:J,Payments!B:B,$C$4,Payments!Q:Q,"&gt;="&amp;B8,Payments!Q:Q,"&lt;"&amp;EDATE(B8,1))</f>
        <v>14155.160000000002</v>
      </c>
      <c r="E8" s="116">
        <f>SUMIFS(Transfers!E:E,Transfers!D:D,$C$4,Transfers!B:B,"&gt;="&amp;B8,Transfers!B:B,"&lt;"&amp;EDATE(B8,1))</f>
        <v>0</v>
      </c>
      <c r="F8" s="116">
        <f>SUMIFS(Transfers!E:E,Transfers!C:C,$C$4,Transfers!B:B,"&gt;="&amp;B8,Transfers!B:B,"&lt;"&amp;EDATE(B8,1))</f>
        <v>129431.65</v>
      </c>
      <c r="G8" s="116">
        <f>ROUND(G7+C8-D8+E8-F8,2)</f>
        <v>36030.839999999997</v>
      </c>
      <c r="H8" s="116">
        <v>36030.839999999997</v>
      </c>
      <c r="I8" s="142" t="str">
        <f>IF(OR(G8="",H8=""),"",IF(G8=H8,"ü", "û"))</f>
        <v>ü</v>
      </c>
      <c r="K8" s="149">
        <f>B8</f>
        <v>46113</v>
      </c>
      <c r="L8" s="143">
        <f>SUMIFS(Receipts!H:H,Receipts!B:B,$L$4,Receipts!E:E,"&gt;="&amp;K8,Receipts!E:E,"&lt;"&amp;EDATE(K8,1))</f>
        <v>0</v>
      </c>
      <c r="M8" s="116">
        <f>SUMIFS(Payments!J:J,Payments!B:B,$L$4,Payments!Q:Q,"&gt;="&amp;K8,Payments!Q:Q,"&lt;"&amp;EDATE(K8,1))</f>
        <v>6881.65</v>
      </c>
      <c r="N8" s="116">
        <f>SUMIFS(Transfers!E:E,Transfers!D:D,$L$4,Transfers!B:B,"&gt;="&amp;K8,Transfers!B:B,"&lt;"&amp;EDATE(K8,1))</f>
        <v>33131.65</v>
      </c>
      <c r="O8" s="116">
        <f>SUMIFS(Transfers!E:E,Transfers!C:C,$L$4,Transfers!B:B,"&gt;="&amp;K8,Transfers!B:B,"&lt;"&amp;EDATE(K8,1))</f>
        <v>0</v>
      </c>
      <c r="P8" s="116">
        <f>ROUND(P7+L8-M8+N8-O8,2)</f>
        <v>64320.6</v>
      </c>
      <c r="Q8" s="116">
        <v>64320.6</v>
      </c>
      <c r="R8" s="142" t="str">
        <f>IF(OR(P8="",Q8=""),"",IF(P8=Q8,"ü", "û"))</f>
        <v>ü</v>
      </c>
    </row>
    <row r="9" spans="1:21" x14ac:dyDescent="0.35">
      <c r="B9" s="149">
        <f t="shared" ref="B9:B19" si="0">EDATE(B8,1)</f>
        <v>46143</v>
      </c>
      <c r="C9" s="143">
        <f>SUMIFS(Receipts!H:H,Receipts!B:B,$C$4,Receipts!E:E,"&gt;="&amp;B9,Receipts!E:E,"&lt;"&amp;EDATE(B9,1))</f>
        <v>65.16</v>
      </c>
      <c r="D9" s="116">
        <f>SUMIFS(Payments!J:J,Payments!B:B,$C$4,Payments!Q:Q,"&gt;="&amp;B9,Payments!Q:Q,"&lt;"&amp;EDATE(B9,1))</f>
        <v>5894.19</v>
      </c>
      <c r="E9" s="116">
        <f>SUMIFS(Transfers!E:E,Transfers!D:D,$C$4,Transfers!B:B,"&gt;="&amp;B9,Transfers!B:B,"&lt;"&amp;EDATE(B9,1))</f>
        <v>0</v>
      </c>
      <c r="F9" s="116">
        <f>SUMIFS(Transfers!E:E,Transfers!C:C,$C$4,Transfers!B:B,"&gt;="&amp;B9,Transfers!B:B,"&lt;"&amp;EDATE(B9,1))</f>
        <v>0</v>
      </c>
      <c r="G9" s="116">
        <f>ROUND(G8+C9-D9+E9-F9,2)</f>
        <v>30201.81</v>
      </c>
      <c r="H9" s="116">
        <v>30201.81</v>
      </c>
      <c r="I9" s="142" t="str">
        <f>IF(OR(G9="",H9=""),"",IF(G9=H9,"ü", "û"))</f>
        <v>ü</v>
      </c>
      <c r="K9" s="149">
        <f t="shared" ref="K9:K19" si="1">B9</f>
        <v>46143</v>
      </c>
      <c r="L9" s="143">
        <f>SUMIFS(Receipts!H:H,Receipts!B:B,$L$4,Receipts!E:E,"&gt;="&amp;K9,Receipts!E:E,"&lt;"&amp;EDATE(K9,1))</f>
        <v>0</v>
      </c>
      <c r="M9" s="116">
        <f>SUMIFS(Payments!J:J,Payments!B:B,$L$4,Payments!Q:Q,"&gt;="&amp;K9,Payments!Q:Q,"&lt;"&amp;EDATE(K9,1))</f>
        <v>0</v>
      </c>
      <c r="N9" s="116">
        <f>SUMIFS(Transfers!E:E,Transfers!D:D,$L$4,Transfers!B:B,"&gt;="&amp;K9,Transfers!B:B,"&lt;"&amp;EDATE(K9,1))</f>
        <v>0</v>
      </c>
      <c r="O9" s="116">
        <f>SUMIFS(Transfers!E:E,Transfers!C:C,$L$4,Transfers!B:B,"&gt;="&amp;K9,Transfers!B:B,"&lt;"&amp;EDATE(K9,1))</f>
        <v>0</v>
      </c>
      <c r="P9" s="116">
        <f t="shared" ref="P9:P19" si="2">ROUND(P8+L9-M9+N9-O9,2)</f>
        <v>64320.6</v>
      </c>
      <c r="Q9" s="116">
        <v>64320.6</v>
      </c>
      <c r="R9" s="142" t="str">
        <f t="shared" ref="R9:R19" si="3">IF(OR(P9="",Q9=""),"",IF(P9=Q9,"ü", "û"))</f>
        <v>ü</v>
      </c>
    </row>
    <row r="10" spans="1:21" x14ac:dyDescent="0.35">
      <c r="B10" s="149">
        <f t="shared" si="0"/>
        <v>46174</v>
      </c>
      <c r="C10" s="143">
        <f>SUMIFS(Receipts!H:H,Receipts!B:B,$C$4,Receipts!E:E,"&gt;="&amp;B10,Receipts!E:E,"&lt;"&amp;EDATE(B10,1))</f>
        <v>0</v>
      </c>
      <c r="D10" s="116">
        <f>SUMIFS(Payments!J:J,Payments!B:B,$C$4,Payments!Q:Q,"&gt;="&amp;B10,Payments!Q:Q,"&lt;"&amp;EDATE(B10,1))</f>
        <v>0</v>
      </c>
      <c r="E10" s="116">
        <f>SUMIFS(Transfers!E:E,Transfers!D:D,$C$4,Transfers!B:B,"&gt;="&amp;B10,Transfers!B:B,"&lt;"&amp;EDATE(B10,1))</f>
        <v>0</v>
      </c>
      <c r="F10" s="116">
        <f>SUMIFS(Transfers!E:E,Transfers!C:C,$C$4,Transfers!B:B,"&gt;="&amp;B10,Transfers!B:B,"&lt;"&amp;EDATE(B10,1))</f>
        <v>0</v>
      </c>
      <c r="G10" s="116">
        <f t="shared" ref="G10:G19" si="4">ROUND(G9+C10-D10+E10-F10,2)</f>
        <v>30201.81</v>
      </c>
      <c r="H10" s="116">
        <v>30306.81</v>
      </c>
      <c r="I10" s="142" t="str">
        <f t="shared" ref="I10:I19" si="5">IF(OR(G10="",H10=""),"",IF(G10=H10,"ü", "û"))</f>
        <v>û</v>
      </c>
      <c r="K10" s="149">
        <f t="shared" si="1"/>
        <v>46174</v>
      </c>
      <c r="L10" s="143">
        <f>SUMIFS(Receipts!H:H,Receipts!B:B,$L$4,Receipts!E:E,"&gt;="&amp;K10,Receipts!E:E,"&lt;"&amp;EDATE(K10,1))</f>
        <v>0</v>
      </c>
      <c r="M10" s="116">
        <f>SUMIFS(Payments!J:J,Payments!B:B,$L$4,Payments!Q:Q,"&gt;="&amp;K10,Payments!Q:Q,"&lt;"&amp;EDATE(K10,1))</f>
        <v>0</v>
      </c>
      <c r="N10" s="116">
        <f>SUMIFS(Transfers!E:E,Transfers!D:D,$L$4,Transfers!B:B,"&gt;="&amp;K10,Transfers!B:B,"&lt;"&amp;EDATE(K10,1))</f>
        <v>0</v>
      </c>
      <c r="O10" s="116">
        <f>SUMIFS(Transfers!E:E,Transfers!C:C,$L$4,Transfers!B:B,"&gt;="&amp;K10,Transfers!B:B,"&lt;"&amp;EDATE(K10,1))</f>
        <v>0</v>
      </c>
      <c r="P10" s="116">
        <f t="shared" si="2"/>
        <v>64320.6</v>
      </c>
      <c r="Q10" s="116"/>
      <c r="R10" s="142" t="str">
        <f t="shared" si="3"/>
        <v/>
      </c>
    </row>
    <row r="11" spans="1:21" x14ac:dyDescent="0.35">
      <c r="B11" s="149">
        <f t="shared" si="0"/>
        <v>46204</v>
      </c>
      <c r="C11" s="143">
        <f>SUMIFS(Receipts!H:H,Receipts!B:B,$C$4,Receipts!E:E,"&gt;="&amp;B11,Receipts!E:E,"&lt;"&amp;EDATE(B11,1))</f>
        <v>0</v>
      </c>
      <c r="D11" s="116">
        <f>SUMIFS(Payments!J:J,Payments!B:B,$C$4,Payments!Q:Q,"&gt;="&amp;B11,Payments!Q:Q,"&lt;"&amp;EDATE(B11,1))</f>
        <v>0</v>
      </c>
      <c r="E11" s="116">
        <f>SUMIFS(Transfers!E:E,Transfers!D:D,$C$4,Transfers!B:B,"&gt;="&amp;B11,Transfers!B:B,"&lt;"&amp;EDATE(B11,1))</f>
        <v>0</v>
      </c>
      <c r="F11" s="116">
        <f>SUMIFS(Transfers!E:E,Transfers!C:C,$C$4,Transfers!B:B,"&gt;="&amp;B11,Transfers!B:B,"&lt;"&amp;EDATE(B11,1))</f>
        <v>0</v>
      </c>
      <c r="G11" s="116">
        <f t="shared" si="4"/>
        <v>30201.81</v>
      </c>
      <c r="H11" s="118"/>
      <c r="I11" s="142" t="str">
        <f t="shared" si="5"/>
        <v/>
      </c>
      <c r="K11" s="149">
        <f t="shared" si="1"/>
        <v>46204</v>
      </c>
      <c r="L11" s="143">
        <f>SUMIFS(Receipts!H:H,Receipts!B:B,$L$4,Receipts!E:E,"&gt;="&amp;K11,Receipts!E:E,"&lt;"&amp;EDATE(K11,1))</f>
        <v>0</v>
      </c>
      <c r="M11" s="116">
        <f>SUMIFS(Payments!J:J,Payments!B:B,$L$4,Payments!Q:Q,"&gt;="&amp;K11,Payments!Q:Q,"&lt;"&amp;EDATE(K11,1))</f>
        <v>0</v>
      </c>
      <c r="N11" s="116">
        <f>SUMIFS(Transfers!E:E,Transfers!D:D,$L$4,Transfers!B:B,"&gt;="&amp;K11,Transfers!B:B,"&lt;"&amp;EDATE(K11,1))</f>
        <v>0</v>
      </c>
      <c r="O11" s="116">
        <f>SUMIFS(Transfers!E:E,Transfers!C:C,$L$4,Transfers!B:B,"&gt;="&amp;K11,Transfers!B:B,"&lt;"&amp;EDATE(K11,1))</f>
        <v>0</v>
      </c>
      <c r="P11" s="116">
        <f t="shared" si="2"/>
        <v>64320.6</v>
      </c>
      <c r="Q11" s="118"/>
      <c r="R11" s="142" t="str">
        <f t="shared" si="3"/>
        <v/>
      </c>
    </row>
    <row r="12" spans="1:21" x14ac:dyDescent="0.35">
      <c r="B12" s="149">
        <f t="shared" si="0"/>
        <v>46235</v>
      </c>
      <c r="C12" s="143">
        <f>SUMIFS(Receipts!H:H,Receipts!B:B,$C$4,Receipts!E:E,"&gt;="&amp;B12,Receipts!E:E,"&lt;"&amp;EDATE(B12,1))</f>
        <v>0</v>
      </c>
      <c r="D12" s="116">
        <f>SUMIFS(Payments!J:J,Payments!B:B,$C$4,Payments!Q:Q,"&gt;="&amp;B12,Payments!Q:Q,"&lt;"&amp;EDATE(B12,1))</f>
        <v>0</v>
      </c>
      <c r="E12" s="116">
        <f>SUMIFS(Transfers!E:E,Transfers!D:D,$C$4,Transfers!B:B,"&gt;="&amp;B12,Transfers!B:B,"&lt;"&amp;EDATE(B12,1))</f>
        <v>0</v>
      </c>
      <c r="F12" s="116">
        <f>SUMIFS(Transfers!E:E,Transfers!C:C,$C$4,Transfers!B:B,"&gt;="&amp;B12,Transfers!B:B,"&lt;"&amp;EDATE(B12,1))</f>
        <v>0</v>
      </c>
      <c r="G12" s="116">
        <f t="shared" si="4"/>
        <v>30201.81</v>
      </c>
      <c r="H12" s="118"/>
      <c r="I12" s="142" t="str">
        <f t="shared" si="5"/>
        <v/>
      </c>
      <c r="K12" s="149">
        <f t="shared" si="1"/>
        <v>46235</v>
      </c>
      <c r="L12" s="143">
        <f>SUMIFS(Receipts!H:H,Receipts!B:B,$L$4,Receipts!E:E,"&gt;="&amp;K12,Receipts!E:E,"&lt;"&amp;EDATE(K12,1))</f>
        <v>0</v>
      </c>
      <c r="M12" s="116">
        <f>SUMIFS(Payments!J:J,Payments!B:B,$L$4,Payments!Q:Q,"&gt;="&amp;K12,Payments!Q:Q,"&lt;"&amp;EDATE(K12,1))</f>
        <v>0</v>
      </c>
      <c r="N12" s="116">
        <f>SUMIFS(Transfers!E:E,Transfers!D:D,$L$4,Transfers!B:B,"&gt;="&amp;K12,Transfers!B:B,"&lt;"&amp;EDATE(K12,1))</f>
        <v>0</v>
      </c>
      <c r="O12" s="116">
        <f>SUMIFS(Transfers!E:E,Transfers!C:C,$L$4,Transfers!B:B,"&gt;="&amp;K12,Transfers!B:B,"&lt;"&amp;EDATE(K12,1))</f>
        <v>0</v>
      </c>
      <c r="P12" s="116">
        <f t="shared" si="2"/>
        <v>64320.6</v>
      </c>
      <c r="Q12" s="118"/>
      <c r="R12" s="142" t="str">
        <f t="shared" si="3"/>
        <v/>
      </c>
    </row>
    <row r="13" spans="1:21" x14ac:dyDescent="0.35">
      <c r="B13" s="149">
        <f t="shared" si="0"/>
        <v>46266</v>
      </c>
      <c r="C13" s="143">
        <f>SUMIFS(Receipts!H:H,Receipts!B:B,$C$4,Receipts!E:E,"&gt;="&amp;B13,Receipts!E:E,"&lt;"&amp;EDATE(B13,1))</f>
        <v>0</v>
      </c>
      <c r="D13" s="116">
        <f>SUMIFS(Payments!J:J,Payments!B:B,$C$4,Payments!Q:Q,"&gt;="&amp;B13,Payments!Q:Q,"&lt;"&amp;EDATE(B13,1))</f>
        <v>0</v>
      </c>
      <c r="E13" s="116">
        <f>SUMIFS(Transfers!E:E,Transfers!D:D,$C$4,Transfers!B:B,"&gt;="&amp;B13,Transfers!B:B,"&lt;"&amp;EDATE(B13,1))</f>
        <v>0</v>
      </c>
      <c r="F13" s="116">
        <f>SUMIFS(Transfers!E:E,Transfers!C:C,$C$4,Transfers!B:B,"&gt;="&amp;B13,Transfers!B:B,"&lt;"&amp;EDATE(B13,1))</f>
        <v>0</v>
      </c>
      <c r="G13" s="116">
        <f t="shared" si="4"/>
        <v>30201.81</v>
      </c>
      <c r="H13" s="118"/>
      <c r="I13" s="142" t="str">
        <f t="shared" si="5"/>
        <v/>
      </c>
      <c r="K13" s="149">
        <f t="shared" si="1"/>
        <v>46266</v>
      </c>
      <c r="L13" s="143">
        <f>SUMIFS(Receipts!H:H,Receipts!B:B,$L$4,Receipts!E:E,"&gt;="&amp;K13,Receipts!E:E,"&lt;"&amp;EDATE(K13,1))</f>
        <v>0</v>
      </c>
      <c r="M13" s="116">
        <f>SUMIFS(Payments!J:J,Payments!B:B,$L$4,Payments!Q:Q,"&gt;="&amp;K13,Payments!Q:Q,"&lt;"&amp;EDATE(K13,1))</f>
        <v>0</v>
      </c>
      <c r="N13" s="116">
        <f>SUMIFS(Transfers!E:E,Transfers!D:D,$L$4,Transfers!B:B,"&gt;="&amp;K13,Transfers!B:B,"&lt;"&amp;EDATE(K13,1))</f>
        <v>0</v>
      </c>
      <c r="O13" s="116">
        <f>SUMIFS(Transfers!E:E,Transfers!C:C,$L$4,Transfers!B:B,"&gt;="&amp;K13,Transfers!B:B,"&lt;"&amp;EDATE(K13,1))</f>
        <v>0</v>
      </c>
      <c r="P13" s="116">
        <f t="shared" si="2"/>
        <v>64320.6</v>
      </c>
      <c r="Q13" s="118"/>
      <c r="R13" s="142" t="str">
        <f t="shared" si="3"/>
        <v/>
      </c>
    </row>
    <row r="14" spans="1:21" x14ac:dyDescent="0.35">
      <c r="B14" s="149">
        <f t="shared" si="0"/>
        <v>46296</v>
      </c>
      <c r="C14" s="143">
        <f>SUMIFS(Receipts!H:H,Receipts!B:B,$C$4,Receipts!E:E,"&gt;="&amp;B14,Receipts!E:E,"&lt;"&amp;EDATE(B14,1))</f>
        <v>0</v>
      </c>
      <c r="D14" s="116">
        <f>SUMIFS(Payments!J:J,Payments!B:B,$C$4,Payments!Q:Q,"&gt;="&amp;B14,Payments!Q:Q,"&lt;"&amp;EDATE(B14,1))</f>
        <v>0</v>
      </c>
      <c r="E14" s="116">
        <f>SUMIFS(Transfers!E:E,Transfers!D:D,$C$4,Transfers!B:B,"&gt;="&amp;B14,Transfers!B:B,"&lt;"&amp;EDATE(B14,1))</f>
        <v>0</v>
      </c>
      <c r="F14" s="116">
        <f>SUMIFS(Transfers!E:E,Transfers!C:C,$C$4,Transfers!B:B,"&gt;="&amp;B14,Transfers!B:B,"&lt;"&amp;EDATE(B14,1))</f>
        <v>0</v>
      </c>
      <c r="G14" s="116">
        <f t="shared" si="4"/>
        <v>30201.81</v>
      </c>
      <c r="H14" s="118"/>
      <c r="I14" s="142" t="str">
        <f t="shared" si="5"/>
        <v/>
      </c>
      <c r="K14" s="149">
        <f t="shared" si="1"/>
        <v>46296</v>
      </c>
      <c r="L14" s="143">
        <f>SUMIFS(Receipts!H:H,Receipts!B:B,$L$4,Receipts!E:E,"&gt;="&amp;K14,Receipts!E:E,"&lt;"&amp;EDATE(K14,1))</f>
        <v>0</v>
      </c>
      <c r="M14" s="116">
        <f>SUMIFS(Payments!J:J,Payments!B:B,$L$4,Payments!Q:Q,"&gt;="&amp;K14,Payments!Q:Q,"&lt;"&amp;EDATE(K14,1))</f>
        <v>0</v>
      </c>
      <c r="N14" s="116">
        <f>SUMIFS(Transfers!E:E,Transfers!D:D,$L$4,Transfers!B:B,"&gt;="&amp;K14,Transfers!B:B,"&lt;"&amp;EDATE(K14,1))</f>
        <v>0</v>
      </c>
      <c r="O14" s="116">
        <f>SUMIFS(Transfers!E:E,Transfers!C:C,$L$4,Transfers!B:B,"&gt;="&amp;K14,Transfers!B:B,"&lt;"&amp;EDATE(K14,1))</f>
        <v>0</v>
      </c>
      <c r="P14" s="116">
        <f t="shared" si="2"/>
        <v>64320.6</v>
      </c>
      <c r="Q14" s="118"/>
      <c r="R14" s="142" t="str">
        <f t="shared" si="3"/>
        <v/>
      </c>
    </row>
    <row r="15" spans="1:21" x14ac:dyDescent="0.35">
      <c r="B15" s="149">
        <f t="shared" si="0"/>
        <v>46327</v>
      </c>
      <c r="C15" s="143">
        <f>SUMIFS(Receipts!H:H,Receipts!B:B,$C$4,Receipts!E:E,"&gt;="&amp;B15,Receipts!E:E,"&lt;"&amp;EDATE(B15,1))</f>
        <v>0</v>
      </c>
      <c r="D15" s="116">
        <f>SUMIFS(Payments!J:J,Payments!B:B,$C$4,Payments!Q:Q,"&gt;="&amp;B15,Payments!Q:Q,"&lt;"&amp;EDATE(B15,1))</f>
        <v>0</v>
      </c>
      <c r="E15" s="116">
        <f>SUMIFS(Transfers!E:E,Transfers!D:D,$C$4,Transfers!B:B,"&gt;="&amp;B15,Transfers!B:B,"&lt;"&amp;EDATE(B15,1))</f>
        <v>0</v>
      </c>
      <c r="F15" s="116">
        <f>SUMIFS(Transfers!E:E,Transfers!C:C,$C$4,Transfers!B:B,"&gt;="&amp;B15,Transfers!B:B,"&lt;"&amp;EDATE(B15,1))</f>
        <v>0</v>
      </c>
      <c r="G15" s="116">
        <f t="shared" si="4"/>
        <v>30201.81</v>
      </c>
      <c r="H15" s="118"/>
      <c r="I15" s="142" t="str">
        <f t="shared" si="5"/>
        <v/>
      </c>
      <c r="K15" s="149">
        <f t="shared" si="1"/>
        <v>46327</v>
      </c>
      <c r="L15" s="143">
        <f>SUMIFS(Receipts!H:H,Receipts!B:B,$L$4,Receipts!E:E,"&gt;="&amp;K15,Receipts!E:E,"&lt;"&amp;EDATE(K15,1))</f>
        <v>0</v>
      </c>
      <c r="M15" s="116">
        <f>SUMIFS(Payments!J:J,Payments!B:B,$L$4,Payments!Q:Q,"&gt;="&amp;K15,Payments!Q:Q,"&lt;"&amp;EDATE(K15,1))</f>
        <v>0</v>
      </c>
      <c r="N15" s="116">
        <f>SUMIFS(Transfers!E:E,Transfers!D:D,$L$4,Transfers!B:B,"&gt;="&amp;K15,Transfers!B:B,"&lt;"&amp;EDATE(K15,1))</f>
        <v>0</v>
      </c>
      <c r="O15" s="116">
        <f>SUMIFS(Transfers!E:E,Transfers!C:C,$L$4,Transfers!B:B,"&gt;="&amp;K15,Transfers!B:B,"&lt;"&amp;EDATE(K15,1))</f>
        <v>0</v>
      </c>
      <c r="P15" s="116">
        <f t="shared" si="2"/>
        <v>64320.6</v>
      </c>
      <c r="Q15" s="118"/>
      <c r="R15" s="142" t="str">
        <f t="shared" si="3"/>
        <v/>
      </c>
    </row>
    <row r="16" spans="1:21" x14ac:dyDescent="0.35">
      <c r="B16" s="149">
        <f t="shared" si="0"/>
        <v>46357</v>
      </c>
      <c r="C16" s="143">
        <f>SUMIFS(Receipts!H:H,Receipts!B:B,$C$4,Receipts!E:E,"&gt;="&amp;B16,Receipts!E:E,"&lt;"&amp;EDATE(B16,1))</f>
        <v>0</v>
      </c>
      <c r="D16" s="116">
        <f>SUMIFS(Payments!J:J,Payments!B:B,$C$4,Payments!Q:Q,"&gt;="&amp;B16,Payments!Q:Q,"&lt;"&amp;EDATE(B16,1))</f>
        <v>0</v>
      </c>
      <c r="E16" s="116">
        <f>SUMIFS(Transfers!E:E,Transfers!D:D,$C$4,Transfers!B:B,"&gt;="&amp;B16,Transfers!B:B,"&lt;"&amp;EDATE(B16,1))</f>
        <v>0</v>
      </c>
      <c r="F16" s="116">
        <f>SUMIFS(Transfers!E:E,Transfers!C:C,$C$4,Transfers!B:B,"&gt;="&amp;B16,Transfers!B:B,"&lt;"&amp;EDATE(B16,1))</f>
        <v>0</v>
      </c>
      <c r="G16" s="116">
        <f t="shared" si="4"/>
        <v>30201.81</v>
      </c>
      <c r="H16" s="118"/>
      <c r="I16" s="142" t="str">
        <f t="shared" si="5"/>
        <v/>
      </c>
      <c r="K16" s="149">
        <f t="shared" si="1"/>
        <v>46357</v>
      </c>
      <c r="L16" s="143">
        <f>SUMIFS(Receipts!H:H,Receipts!B:B,$L$4,Receipts!E:E,"&gt;="&amp;K16,Receipts!E:E,"&lt;"&amp;EDATE(K16,1))</f>
        <v>0</v>
      </c>
      <c r="M16" s="116">
        <f>SUMIFS(Payments!J:J,Payments!B:B,$L$4,Payments!Q:Q,"&gt;="&amp;K16,Payments!Q:Q,"&lt;"&amp;EDATE(K16,1))</f>
        <v>0</v>
      </c>
      <c r="N16" s="116">
        <f>SUMIFS(Transfers!E:E,Transfers!D:D,$L$4,Transfers!B:B,"&gt;="&amp;K16,Transfers!B:B,"&lt;"&amp;EDATE(K16,1))</f>
        <v>0</v>
      </c>
      <c r="O16" s="116">
        <f>SUMIFS(Transfers!E:E,Transfers!C:C,$L$4,Transfers!B:B,"&gt;="&amp;K16,Transfers!B:B,"&lt;"&amp;EDATE(K16,1))</f>
        <v>0</v>
      </c>
      <c r="P16" s="116">
        <f t="shared" si="2"/>
        <v>64320.6</v>
      </c>
      <c r="Q16" s="118"/>
      <c r="R16" s="142" t="str">
        <f t="shared" si="3"/>
        <v/>
      </c>
    </row>
    <row r="17" spans="1:20" x14ac:dyDescent="0.35">
      <c r="B17" s="149">
        <f t="shared" si="0"/>
        <v>46388</v>
      </c>
      <c r="C17" s="143">
        <f>SUMIFS(Receipts!H:H,Receipts!B:B,$C$4,Receipts!E:E,"&gt;="&amp;B17,Receipts!E:E,"&lt;"&amp;EDATE(B17,1))</f>
        <v>0</v>
      </c>
      <c r="D17" s="116">
        <f>SUMIFS(Payments!J:J,Payments!B:B,$C$4,Payments!Q:Q,"&gt;="&amp;B17,Payments!Q:Q,"&lt;"&amp;EDATE(B17,1))</f>
        <v>0</v>
      </c>
      <c r="E17" s="116">
        <f>SUMIFS(Transfers!E:E,Transfers!D:D,$C$4,Transfers!B:B,"&gt;="&amp;B17,Transfers!B:B,"&lt;"&amp;EDATE(B17,1))</f>
        <v>0</v>
      </c>
      <c r="F17" s="116">
        <f>SUMIFS(Transfers!E:E,Transfers!C:C,$C$4,Transfers!B:B,"&gt;="&amp;B17,Transfers!B:B,"&lt;"&amp;EDATE(B17,1))</f>
        <v>0</v>
      </c>
      <c r="G17" s="116">
        <f t="shared" si="4"/>
        <v>30201.81</v>
      </c>
      <c r="H17" s="118"/>
      <c r="I17" s="142" t="str">
        <f t="shared" si="5"/>
        <v/>
      </c>
      <c r="K17" s="149">
        <f t="shared" si="1"/>
        <v>46388</v>
      </c>
      <c r="L17" s="143">
        <f>SUMIFS(Receipts!H:H,Receipts!B:B,$L$4,Receipts!E:E,"&gt;="&amp;K17,Receipts!E:E,"&lt;"&amp;EDATE(K17,1))</f>
        <v>0</v>
      </c>
      <c r="M17" s="116">
        <f>SUMIFS(Payments!J:J,Payments!B:B,$L$4,Payments!Q:Q,"&gt;="&amp;K17,Payments!Q:Q,"&lt;"&amp;EDATE(K17,1))</f>
        <v>0</v>
      </c>
      <c r="N17" s="116">
        <f>SUMIFS(Transfers!E:E,Transfers!D:D,$L$4,Transfers!B:B,"&gt;="&amp;K17,Transfers!B:B,"&lt;"&amp;EDATE(K17,1))</f>
        <v>0</v>
      </c>
      <c r="O17" s="116">
        <f>SUMIFS(Transfers!E:E,Transfers!C:C,$L$4,Transfers!B:B,"&gt;="&amp;K17,Transfers!B:B,"&lt;"&amp;EDATE(K17,1))</f>
        <v>0</v>
      </c>
      <c r="P17" s="116">
        <f t="shared" si="2"/>
        <v>64320.6</v>
      </c>
      <c r="Q17" s="118"/>
      <c r="R17" s="142" t="str">
        <f t="shared" si="3"/>
        <v/>
      </c>
    </row>
    <row r="18" spans="1:20" x14ac:dyDescent="0.35">
      <c r="B18" s="149">
        <f t="shared" si="0"/>
        <v>46419</v>
      </c>
      <c r="C18" s="143">
        <f>SUMIFS(Receipts!H:H,Receipts!B:B,$C$4,Receipts!E:E,"&gt;="&amp;B18,Receipts!E:E,"&lt;"&amp;EDATE(B18,1))</f>
        <v>0</v>
      </c>
      <c r="D18" s="116">
        <f>SUMIFS(Payments!J:J,Payments!B:B,$C$4,Payments!Q:Q,"&gt;="&amp;B18,Payments!Q:Q,"&lt;"&amp;EDATE(B18,1))</f>
        <v>0</v>
      </c>
      <c r="E18" s="116">
        <f>SUMIFS(Transfers!E:E,Transfers!D:D,$C$4,Transfers!B:B,"&gt;="&amp;B18,Transfers!B:B,"&lt;"&amp;EDATE(B18,1))</f>
        <v>0</v>
      </c>
      <c r="F18" s="116">
        <f>SUMIFS(Transfers!E:E,Transfers!C:C,$C$4,Transfers!B:B,"&gt;="&amp;B18,Transfers!B:B,"&lt;"&amp;EDATE(B18,1))</f>
        <v>0</v>
      </c>
      <c r="G18" s="116">
        <f t="shared" si="4"/>
        <v>30201.81</v>
      </c>
      <c r="H18" s="144"/>
      <c r="I18" s="142" t="str">
        <f t="shared" si="5"/>
        <v/>
      </c>
      <c r="K18" s="149">
        <f t="shared" si="1"/>
        <v>46419</v>
      </c>
      <c r="L18" s="143">
        <f>SUMIFS(Receipts!H:H,Receipts!B:B,$L$4,Receipts!E:E,"&gt;="&amp;K18,Receipts!E:E,"&lt;"&amp;EDATE(K18,1))</f>
        <v>0</v>
      </c>
      <c r="M18" s="116">
        <f>SUMIFS(Payments!J:J,Payments!B:B,$L$4,Payments!Q:Q,"&gt;="&amp;K18,Payments!Q:Q,"&lt;"&amp;EDATE(K18,1))</f>
        <v>0</v>
      </c>
      <c r="N18" s="116">
        <f>SUMIFS(Transfers!E:E,Transfers!D:D,$L$4,Transfers!B:B,"&gt;="&amp;K18,Transfers!B:B,"&lt;"&amp;EDATE(K18,1))</f>
        <v>0</v>
      </c>
      <c r="O18" s="116">
        <f>SUMIFS(Transfers!E:E,Transfers!C:C,$L$4,Transfers!B:B,"&gt;="&amp;K18,Transfers!B:B,"&lt;"&amp;EDATE(K18,1))</f>
        <v>0</v>
      </c>
      <c r="P18" s="116">
        <f t="shared" si="2"/>
        <v>64320.6</v>
      </c>
      <c r="Q18" s="144"/>
      <c r="R18" s="142" t="str">
        <f t="shared" si="3"/>
        <v/>
      </c>
    </row>
    <row r="19" spans="1:20" x14ac:dyDescent="0.35">
      <c r="B19" s="149">
        <f t="shared" si="0"/>
        <v>46447</v>
      </c>
      <c r="C19" s="143">
        <f>SUMIFS(Receipts!H:H,Receipts!B:B,$C$4,Receipts!E:E,"&gt;="&amp;B19,Receipts!E:E,"&lt;"&amp;EDATE(B19,1))</f>
        <v>0</v>
      </c>
      <c r="D19" s="116">
        <f>SUMIFS(Payments!J:J,Payments!B:B,$C$4,Payments!Q:Q,"&gt;="&amp;B19,Payments!Q:Q,"&lt;"&amp;EDATE(B19,1))</f>
        <v>0</v>
      </c>
      <c r="E19" s="116">
        <f>SUMIFS(Transfers!E:E,Transfers!D:D,$C$4,Transfers!B:B,"&gt;="&amp;B19,Transfers!B:B,"&lt;"&amp;EDATE(B19,1))</f>
        <v>0</v>
      </c>
      <c r="F19" s="116">
        <f>SUMIFS(Transfers!E:E,Transfers!C:C,$C$4,Transfers!B:B,"&gt;="&amp;B19,Transfers!B:B,"&lt;"&amp;EDATE(B19,1))</f>
        <v>0</v>
      </c>
      <c r="G19" s="116">
        <f t="shared" si="4"/>
        <v>30201.81</v>
      </c>
      <c r="H19" s="144"/>
      <c r="I19" s="142" t="str">
        <f t="shared" si="5"/>
        <v/>
      </c>
      <c r="K19" s="149">
        <f t="shared" si="1"/>
        <v>46447</v>
      </c>
      <c r="L19" s="143">
        <f>SUMIFS(Receipts!H:H,Receipts!B:B,$L$4,Receipts!E:E,"&gt;="&amp;K19,Receipts!E:E,"&lt;"&amp;EDATE(K19,1))</f>
        <v>0</v>
      </c>
      <c r="M19" s="116">
        <f>SUMIFS(Payments!J:J,Payments!B:B,$L$4,Payments!Q:Q,"&gt;="&amp;K19,Payments!Q:Q,"&lt;"&amp;EDATE(K19,1))</f>
        <v>0</v>
      </c>
      <c r="N19" s="116">
        <f>SUMIFS(Transfers!E:E,Transfers!D:D,$L$4,Transfers!B:B,"&gt;="&amp;K19,Transfers!B:B,"&lt;"&amp;EDATE(K19,1))</f>
        <v>0</v>
      </c>
      <c r="O19" s="116">
        <f>SUMIFS(Transfers!E:E,Transfers!C:C,$L$4,Transfers!B:B,"&gt;="&amp;K19,Transfers!B:B,"&lt;"&amp;EDATE(K19,1))</f>
        <v>0</v>
      </c>
      <c r="P19" s="116">
        <f t="shared" si="2"/>
        <v>64320.6</v>
      </c>
      <c r="Q19" s="144"/>
      <c r="R19" s="142" t="str">
        <f t="shared" si="3"/>
        <v/>
      </c>
    </row>
    <row r="20" spans="1:20" s="32" customFormat="1" x14ac:dyDescent="0.35">
      <c r="A20" s="137"/>
      <c r="B20" s="19" t="s">
        <v>103</v>
      </c>
      <c r="C20" s="128">
        <f>SUM(C8:C19)</f>
        <v>170742.99</v>
      </c>
      <c r="D20" s="128">
        <f>SUM(D8:D19)</f>
        <v>20049.350000000002</v>
      </c>
      <c r="E20" s="128">
        <f>SUM(E8:E19)</f>
        <v>0</v>
      </c>
      <c r="F20" s="128">
        <f>SUM(F8:F19)</f>
        <v>129431.65</v>
      </c>
      <c r="G20" s="145"/>
      <c r="H20" s="145"/>
      <c r="I20" s="138"/>
      <c r="J20" s="137"/>
      <c r="K20" s="19" t="s">
        <v>103</v>
      </c>
      <c r="L20" s="128">
        <f>SUM(L8:L19)</f>
        <v>0</v>
      </c>
      <c r="M20" s="128">
        <f>SUM(M8:M19)</f>
        <v>6881.65</v>
      </c>
      <c r="N20" s="128">
        <f>SUM(N8:N19)</f>
        <v>33131.65</v>
      </c>
      <c r="O20" s="128">
        <f>SUM(O8:O19)</f>
        <v>0</v>
      </c>
      <c r="P20" s="145"/>
      <c r="Q20" s="146"/>
      <c r="R20" s="138"/>
    </row>
    <row r="21" spans="1:20" ht="12" customHeight="1" x14ac:dyDescent="0.35">
      <c r="Q21" s="145"/>
    </row>
    <row r="22" spans="1:20" s="122" customFormat="1" ht="12" customHeight="1" x14ac:dyDescent="0.35">
      <c r="A22" s="137"/>
      <c r="B22" s="138"/>
      <c r="C22" s="137"/>
      <c r="D22" s="137"/>
      <c r="E22" s="137"/>
      <c r="F22" s="137"/>
      <c r="G22" s="137"/>
      <c r="H22" s="137"/>
      <c r="I22" s="138" t="s">
        <v>255</v>
      </c>
      <c r="J22" s="137"/>
      <c r="K22" s="138"/>
      <c r="L22" s="137"/>
      <c r="M22" s="145"/>
      <c r="N22" s="137"/>
      <c r="O22" s="137"/>
      <c r="P22" s="137"/>
      <c r="Q22" s="137"/>
      <c r="R22" s="138"/>
    </row>
    <row r="23" spans="1:20" x14ac:dyDescent="0.35">
      <c r="B23" s="136"/>
      <c r="C23" s="329" t="str">
        <f>SETUP!B20</f>
        <v>Salary</v>
      </c>
      <c r="D23" s="330"/>
      <c r="E23" s="330"/>
      <c r="F23" s="330"/>
      <c r="G23" s="330"/>
      <c r="H23" s="330"/>
      <c r="I23" s="330"/>
    </row>
    <row r="24" spans="1:20" ht="12" customHeight="1" x14ac:dyDescent="0.35">
      <c r="C24" s="104" t="s">
        <v>18</v>
      </c>
      <c r="D24" s="104" t="s">
        <v>17</v>
      </c>
      <c r="E24" s="104" t="s">
        <v>74</v>
      </c>
      <c r="F24" s="104" t="s">
        <v>74</v>
      </c>
      <c r="G24" s="104" t="s">
        <v>75</v>
      </c>
      <c r="H24" s="104" t="s">
        <v>71</v>
      </c>
      <c r="I24" s="104" t="s">
        <v>71</v>
      </c>
    </row>
    <row r="25" spans="1:20" x14ac:dyDescent="0.35">
      <c r="C25" s="106"/>
      <c r="D25" s="106"/>
      <c r="E25" s="106" t="s">
        <v>76</v>
      </c>
      <c r="F25" s="106" t="s">
        <v>77</v>
      </c>
      <c r="G25" s="106" t="s">
        <v>30</v>
      </c>
      <c r="H25" s="106" t="s">
        <v>78</v>
      </c>
      <c r="I25" s="106" t="s">
        <v>79</v>
      </c>
      <c r="K25" s="256"/>
    </row>
    <row r="26" spans="1:20" x14ac:dyDescent="0.35">
      <c r="B26" s="148" t="s">
        <v>33</v>
      </c>
      <c r="C26" s="140"/>
      <c r="D26" s="141"/>
      <c r="E26" s="141"/>
      <c r="F26" s="141"/>
      <c r="G26" s="116">
        <f>VLOOKUP(C23,SETUP!B:C,2,FALSE)</f>
        <v>6383.95</v>
      </c>
      <c r="H26" s="116"/>
      <c r="I26" s="142" t="str">
        <f t="shared" ref="I26:I38" si="6">IF(OR(G26="",H26=""),"",IF(G26=H26,"ü", "û"))</f>
        <v/>
      </c>
      <c r="K26" s="256"/>
      <c r="L26" s="145"/>
    </row>
    <row r="27" spans="1:20" x14ac:dyDescent="0.35">
      <c r="B27" s="149">
        <f>B8</f>
        <v>46113</v>
      </c>
      <c r="C27" s="143">
        <f>SUMIFS(Receipts!H:H,Receipts!B:B,$C$23,Receipts!E:E,"&gt;="&amp;B27,Receipts!E:E,"&lt;"&amp;EDATE(B27,1))</f>
        <v>0</v>
      </c>
      <c r="D27" s="116">
        <f>SUMIFS(Payments!J:J,Payments!B:B,$C$23,Payments!Q:Q,"&gt;="&amp;B27,Payments!Q:Q,"&lt;"&amp;EDATE(B27,1))</f>
        <v>7521.6</v>
      </c>
      <c r="E27" s="116">
        <f>SUMIFS(Transfers!E:E,Transfers!D:D,$C$23,Transfers!B:B,"&gt;="&amp;B27,Transfers!B:B,"&lt;"&amp;EDATE(B27,1))</f>
        <v>96300</v>
      </c>
      <c r="F27" s="116">
        <f>SUMIFS(Transfers!E:E,Transfers!C:C,$C$23,Transfers!B:B,"&gt;="&amp;B27,Transfers!B:B,"&lt;"&amp;EDATE(B27,1))</f>
        <v>0</v>
      </c>
      <c r="G27" s="116">
        <f>ROUND(G26+C27-D27+E27-F27,2)</f>
        <v>95162.35</v>
      </c>
      <c r="H27" s="116">
        <v>95162.35</v>
      </c>
      <c r="I27" s="142" t="str">
        <f t="shared" si="6"/>
        <v>ü</v>
      </c>
      <c r="K27" s="256"/>
      <c r="L27" s="255"/>
    </row>
    <row r="28" spans="1:20" x14ac:dyDescent="0.35">
      <c r="B28" s="149">
        <f t="shared" ref="B28:B38" si="7">EDATE(B27,1)</f>
        <v>46143</v>
      </c>
      <c r="C28" s="143">
        <f>SUMIFS(Receipts!H:H,Receipts!B:B,$C$23,Receipts!E:E,"&gt;="&amp;B28,Receipts!E:E,"&lt;"&amp;EDATE(B28,1))</f>
        <v>0</v>
      </c>
      <c r="D28" s="116">
        <f>SUMIFS(Payments!J:J,Payments!B:B,$C$23,Payments!Q:Q,"&gt;="&amp;B28,Payments!Q:Q,"&lt;"&amp;EDATE(B28,1))</f>
        <v>7521.5999999999995</v>
      </c>
      <c r="E28" s="116">
        <f>SUMIFS(Transfers!E:E,Transfers!D:D,$C$23,Transfers!B:B,"&gt;="&amp;B28,Transfers!B:B,"&lt;"&amp;EDATE(B28,1))</f>
        <v>0</v>
      </c>
      <c r="F28" s="116">
        <f>SUMIFS(Transfers!E:E,Transfers!C:C,$C$23,Transfers!B:B,"&gt;="&amp;B28,Transfers!B:B,"&lt;"&amp;EDATE(B28,1))</f>
        <v>0</v>
      </c>
      <c r="G28" s="116">
        <f t="shared" ref="G28:G38" si="8">ROUND(G27+C28-D28+E28-F28,2)</f>
        <v>87640.75</v>
      </c>
      <c r="H28" s="116">
        <v>87640.75</v>
      </c>
      <c r="I28" s="142" t="str">
        <f t="shared" si="6"/>
        <v>ü</v>
      </c>
    </row>
    <row r="29" spans="1:20" x14ac:dyDescent="0.35">
      <c r="B29" s="149">
        <f t="shared" si="7"/>
        <v>46174</v>
      </c>
      <c r="C29" s="143">
        <f>SUMIFS(Receipts!H:H,Receipts!B:B,$C$23,Receipts!E:E,"&gt;="&amp;B29,Receipts!E:E,"&lt;"&amp;EDATE(B29,1))</f>
        <v>0</v>
      </c>
      <c r="D29" s="116">
        <f>SUMIFS(Payments!J:J,Payments!B:B,$C$23,Payments!Q:Q,"&gt;="&amp;B29,Payments!Q:Q,"&lt;"&amp;EDATE(B29,1))</f>
        <v>0</v>
      </c>
      <c r="E29" s="116">
        <f>SUMIFS(Transfers!E:E,Transfers!D:D,$C$23,Transfers!B:B,"&gt;="&amp;B29,Transfers!B:B,"&lt;"&amp;EDATE(B29,1))</f>
        <v>0</v>
      </c>
      <c r="F29" s="116">
        <f>SUMIFS(Transfers!E:E,Transfers!C:C,$C$23,Transfers!B:B,"&gt;="&amp;B29,Transfers!B:B,"&lt;"&amp;EDATE(B29,1))</f>
        <v>0</v>
      </c>
      <c r="G29" s="116">
        <f t="shared" si="8"/>
        <v>87640.75</v>
      </c>
      <c r="H29" s="116"/>
      <c r="I29" s="142" t="str">
        <f t="shared" si="6"/>
        <v/>
      </c>
    </row>
    <row r="30" spans="1:20" x14ac:dyDescent="0.35">
      <c r="B30" s="149">
        <f t="shared" si="7"/>
        <v>46204</v>
      </c>
      <c r="C30" s="143">
        <f>SUMIFS(Receipts!H:H,Receipts!B:B,$C$23,Receipts!E:E,"&gt;="&amp;B30,Receipts!E:E,"&lt;"&amp;EDATE(B30,1))</f>
        <v>0</v>
      </c>
      <c r="D30" s="116">
        <f>SUMIFS(Payments!J:J,Payments!B:B,$C$23,Payments!Q:Q,"&gt;="&amp;B30,Payments!Q:Q,"&lt;"&amp;EDATE(B30,1))</f>
        <v>0</v>
      </c>
      <c r="E30" s="116">
        <f>SUMIFS(Transfers!E:E,Transfers!D:D,$C$23,Transfers!B:B,"&gt;="&amp;B30,Transfers!B:B,"&lt;"&amp;EDATE(B30,1))</f>
        <v>0</v>
      </c>
      <c r="F30" s="116">
        <f>SUMIFS(Transfers!E:E,Transfers!C:C,$C$23,Transfers!B:B,"&gt;="&amp;B30,Transfers!B:B,"&lt;"&amp;EDATE(B30,1))</f>
        <v>0</v>
      </c>
      <c r="G30" s="116">
        <f t="shared" si="8"/>
        <v>87640.75</v>
      </c>
      <c r="H30" s="118"/>
      <c r="I30" s="142" t="str">
        <f t="shared" si="6"/>
        <v/>
      </c>
      <c r="T30" s="137" t="s">
        <v>114</v>
      </c>
    </row>
    <row r="31" spans="1:20" x14ac:dyDescent="0.35">
      <c r="B31" s="149">
        <f t="shared" si="7"/>
        <v>46235</v>
      </c>
      <c r="C31" s="143">
        <f>SUMIFS(Receipts!H:H,Receipts!B:B,$C$23,Receipts!E:E,"&gt;="&amp;B31,Receipts!E:E,"&lt;"&amp;EDATE(B31,1))</f>
        <v>0</v>
      </c>
      <c r="D31" s="116">
        <f>SUMIFS(Payments!J:J,Payments!B:B,$C$23,Payments!Q:Q,"&gt;="&amp;B31,Payments!Q:Q,"&lt;"&amp;EDATE(B31,1))</f>
        <v>0</v>
      </c>
      <c r="E31" s="116">
        <f>SUMIFS(Transfers!E:E,Transfers!D:D,$C$23,Transfers!B:B,"&gt;="&amp;B31,Transfers!B:B,"&lt;"&amp;EDATE(B31,1))</f>
        <v>0</v>
      </c>
      <c r="F31" s="116">
        <f>SUMIFS(Transfers!E:E,Transfers!C:C,$C$23,Transfers!B:B,"&gt;="&amp;B31,Transfers!B:B,"&lt;"&amp;EDATE(B31,1))</f>
        <v>0</v>
      </c>
      <c r="G31" s="116">
        <f t="shared" si="8"/>
        <v>87640.75</v>
      </c>
      <c r="H31" s="118"/>
      <c r="I31" s="142" t="str">
        <f t="shared" si="6"/>
        <v/>
      </c>
    </row>
    <row r="32" spans="1:20" x14ac:dyDescent="0.35">
      <c r="B32" s="149">
        <f t="shared" si="7"/>
        <v>46266</v>
      </c>
      <c r="C32" s="143">
        <f>SUMIFS(Receipts!H:H,Receipts!B:B,$C$23,Receipts!E:E,"&gt;="&amp;B32,Receipts!E:E,"&lt;"&amp;EDATE(B32,1))</f>
        <v>0</v>
      </c>
      <c r="D32" s="116">
        <f>SUMIFS(Payments!J:J,Payments!B:B,$C$23,Payments!Q:Q,"&gt;="&amp;B32,Payments!Q:Q,"&lt;"&amp;EDATE(B32,1))</f>
        <v>0</v>
      </c>
      <c r="E32" s="116">
        <f>SUMIFS(Transfers!E:E,Transfers!D:D,$C$23,Transfers!B:B,"&gt;="&amp;B32,Transfers!B:B,"&lt;"&amp;EDATE(B32,1))</f>
        <v>0</v>
      </c>
      <c r="F32" s="116">
        <f>SUMIFS(Transfers!E:E,Transfers!C:C,$C$23,Transfers!B:B,"&gt;="&amp;B32,Transfers!B:B,"&lt;"&amp;EDATE(B32,1))</f>
        <v>0</v>
      </c>
      <c r="G32" s="116">
        <f t="shared" si="8"/>
        <v>87640.75</v>
      </c>
      <c r="H32" s="118"/>
      <c r="I32" s="142" t="str">
        <f t="shared" si="6"/>
        <v/>
      </c>
    </row>
    <row r="33" spans="2:14" x14ac:dyDescent="0.35">
      <c r="B33" s="149">
        <f t="shared" si="7"/>
        <v>46296</v>
      </c>
      <c r="C33" s="143">
        <f>SUMIFS(Receipts!H:H,Receipts!B:B,$C$23,Receipts!E:E,"&gt;="&amp;B33,Receipts!E:E,"&lt;"&amp;EDATE(B33,1))</f>
        <v>0</v>
      </c>
      <c r="D33" s="116">
        <f>SUMIFS(Payments!J:J,Payments!B:B,$C$23,Payments!Q:Q,"&gt;="&amp;B33,Payments!Q:Q,"&lt;"&amp;EDATE(B33,1))</f>
        <v>0</v>
      </c>
      <c r="E33" s="116">
        <f>SUMIFS(Transfers!E:E,Transfers!D:D,$C$23,Transfers!B:B,"&gt;="&amp;B33,Transfers!B:B,"&lt;"&amp;EDATE(B33,1))</f>
        <v>0</v>
      </c>
      <c r="F33" s="116">
        <f>SUMIFS(Transfers!E:E,Transfers!C:C,$C$23,Transfers!B:B,"&gt;="&amp;B33,Transfers!B:B,"&lt;"&amp;EDATE(B33,1))</f>
        <v>0</v>
      </c>
      <c r="G33" s="116">
        <f t="shared" si="8"/>
        <v>87640.75</v>
      </c>
      <c r="H33" s="118"/>
      <c r="I33" s="142" t="str">
        <f t="shared" si="6"/>
        <v/>
      </c>
    </row>
    <row r="34" spans="2:14" x14ac:dyDescent="0.35">
      <c r="B34" s="149">
        <f t="shared" si="7"/>
        <v>46327</v>
      </c>
      <c r="C34" s="143">
        <f>SUMIFS(Receipts!H:H,Receipts!B:B,$C$23,Receipts!E:E,"&gt;="&amp;B34,Receipts!E:E,"&lt;"&amp;EDATE(B34,1))</f>
        <v>0</v>
      </c>
      <c r="D34" s="116">
        <f>SUMIFS(Payments!J:J,Payments!B:B,$C$23,Payments!Q:Q,"&gt;="&amp;B34,Payments!Q:Q,"&lt;"&amp;EDATE(B34,1))</f>
        <v>0</v>
      </c>
      <c r="E34" s="116">
        <f>SUMIFS(Transfers!E:E,Transfers!D:D,$C$23,Transfers!B:B,"&gt;="&amp;B34,Transfers!B:B,"&lt;"&amp;EDATE(B34,1))</f>
        <v>0</v>
      </c>
      <c r="F34" s="116">
        <f>SUMIFS(Transfers!E:E,Transfers!C:C,$C$23,Transfers!B:B,"&gt;="&amp;B34,Transfers!B:B,"&lt;"&amp;EDATE(B34,1))</f>
        <v>0</v>
      </c>
      <c r="G34" s="116">
        <f t="shared" si="8"/>
        <v>87640.75</v>
      </c>
      <c r="H34" s="118"/>
      <c r="I34" s="142" t="str">
        <f t="shared" si="6"/>
        <v/>
      </c>
    </row>
    <row r="35" spans="2:14" x14ac:dyDescent="0.35">
      <c r="B35" s="149">
        <f t="shared" si="7"/>
        <v>46357</v>
      </c>
      <c r="C35" s="143">
        <f>SUMIFS(Receipts!H:H,Receipts!B:B,$C$23,Receipts!E:E,"&gt;="&amp;B35,Receipts!E:E,"&lt;"&amp;EDATE(B35,1))</f>
        <v>0</v>
      </c>
      <c r="D35" s="116">
        <f>SUMIFS(Payments!J:J,Payments!B:B,$C$23,Payments!Q:Q,"&gt;="&amp;B35,Payments!Q:Q,"&lt;"&amp;EDATE(B35,1))</f>
        <v>0</v>
      </c>
      <c r="E35" s="116">
        <f>SUMIFS(Transfers!E:E,Transfers!D:D,$C$23,Transfers!B:B,"&gt;="&amp;B35,Transfers!B:B,"&lt;"&amp;EDATE(B35,1))</f>
        <v>0</v>
      </c>
      <c r="F35" s="116">
        <f>SUMIFS(Transfers!E:E,Transfers!C:C,$C$23,Transfers!B:B,"&gt;="&amp;B35,Transfers!B:B,"&lt;"&amp;EDATE(B35,1))</f>
        <v>0</v>
      </c>
      <c r="G35" s="116">
        <f t="shared" si="8"/>
        <v>87640.75</v>
      </c>
      <c r="H35" s="118"/>
      <c r="I35" s="142" t="str">
        <f t="shared" si="6"/>
        <v/>
      </c>
    </row>
    <row r="36" spans="2:14" x14ac:dyDescent="0.35">
      <c r="B36" s="149">
        <f t="shared" si="7"/>
        <v>46388</v>
      </c>
      <c r="C36" s="143">
        <f>SUMIFS(Receipts!H:H,Receipts!B:B,$C$23,Receipts!E:E,"&gt;="&amp;B36,Receipts!E:E,"&lt;"&amp;EDATE(B36,1))</f>
        <v>0</v>
      </c>
      <c r="D36" s="116">
        <f>SUMIFS(Payments!J:J,Payments!B:B,$C$23,Payments!Q:Q,"&gt;="&amp;B36,Payments!Q:Q,"&lt;"&amp;EDATE(B36,1))</f>
        <v>0</v>
      </c>
      <c r="E36" s="116">
        <f>SUMIFS(Transfers!E:E,Transfers!D:D,$C$23,Transfers!B:B,"&gt;="&amp;B36,Transfers!B:B,"&lt;"&amp;EDATE(B36,1))</f>
        <v>0</v>
      </c>
      <c r="F36" s="116">
        <f>SUMIFS(Transfers!E:E,Transfers!C:C,$C$23,Transfers!B:B,"&gt;="&amp;B36,Transfers!B:B,"&lt;"&amp;EDATE(B36,1))</f>
        <v>0</v>
      </c>
      <c r="G36" s="116">
        <f t="shared" si="8"/>
        <v>87640.75</v>
      </c>
      <c r="H36" s="118"/>
      <c r="I36" s="142" t="str">
        <f t="shared" si="6"/>
        <v/>
      </c>
    </row>
    <row r="37" spans="2:14" x14ac:dyDescent="0.35">
      <c r="B37" s="149">
        <f t="shared" si="7"/>
        <v>46419</v>
      </c>
      <c r="C37" s="143">
        <f>SUMIFS(Receipts!H:H,Receipts!B:B,$C$23,Receipts!E:E,"&gt;="&amp;B37,Receipts!E:E,"&lt;"&amp;EDATE(B37,1))</f>
        <v>0</v>
      </c>
      <c r="D37" s="116">
        <f>SUMIFS(Payments!J:J,Payments!B:B,$C$23,Payments!Q:Q,"&gt;="&amp;B37,Payments!Q:Q,"&lt;"&amp;EDATE(B37,1))</f>
        <v>0</v>
      </c>
      <c r="E37" s="116">
        <f>SUMIFS(Transfers!E:E,Transfers!D:D,$C$23,Transfers!B:B,"&gt;="&amp;B37,Transfers!B:B,"&lt;"&amp;EDATE(B37,1))</f>
        <v>0</v>
      </c>
      <c r="F37" s="116">
        <f>SUMIFS(Transfers!E:E,Transfers!C:C,$C$23,Transfers!B:B,"&gt;="&amp;B37,Transfers!B:B,"&lt;"&amp;EDATE(B37,1))</f>
        <v>0</v>
      </c>
      <c r="G37" s="116">
        <f t="shared" si="8"/>
        <v>87640.75</v>
      </c>
      <c r="H37" s="144"/>
      <c r="I37" s="142" t="str">
        <f t="shared" si="6"/>
        <v/>
      </c>
    </row>
    <row r="38" spans="2:14" x14ac:dyDescent="0.35">
      <c r="B38" s="149">
        <f t="shared" si="7"/>
        <v>46447</v>
      </c>
      <c r="C38" s="143">
        <f>SUMIFS(Receipts!H:H,Receipts!B:B,$C$23,Receipts!E:E,"&gt;="&amp;B38,Receipts!E:E,"&lt;"&amp;EDATE(B38,1))</f>
        <v>0</v>
      </c>
      <c r="D38" s="116">
        <f>SUMIFS(Payments!J:J,Payments!B:B,$C$23,Payments!Q:Q,"&gt;="&amp;B38,Payments!Q:Q,"&lt;"&amp;EDATE(B38,1))</f>
        <v>0</v>
      </c>
      <c r="E38" s="116">
        <f>SUMIFS(Transfers!E:E,Transfers!D:D,$C$23,Transfers!B:B,"&gt;="&amp;B38,Transfers!B:B,"&lt;"&amp;EDATE(B38,1))</f>
        <v>0</v>
      </c>
      <c r="F38" s="116">
        <f>SUMIFS(Transfers!E:E,Transfers!C:C,$C$23,Transfers!B:B,"&gt;="&amp;B38,Transfers!B:B,"&lt;"&amp;EDATE(B38,1))</f>
        <v>0</v>
      </c>
      <c r="G38" s="116">
        <f t="shared" si="8"/>
        <v>87640.75</v>
      </c>
      <c r="H38" s="144"/>
      <c r="I38" s="142" t="str">
        <f t="shared" si="6"/>
        <v/>
      </c>
      <c r="M38" s="137" t="s">
        <v>264</v>
      </c>
      <c r="N38" s="269"/>
    </row>
    <row r="39" spans="2:14" x14ac:dyDescent="0.35">
      <c r="B39" s="19" t="s">
        <v>103</v>
      </c>
      <c r="C39" s="128">
        <f>SUM(C27:C38)</f>
        <v>0</v>
      </c>
      <c r="D39" s="128">
        <f>SUM(D27:D38)</f>
        <v>15043.2</v>
      </c>
      <c r="E39" s="128">
        <f>SUM(E27:E38)</f>
        <v>96300</v>
      </c>
      <c r="F39" s="128">
        <f>SUM(F27:F38)</f>
        <v>0</v>
      </c>
      <c r="G39" s="145"/>
      <c r="H39" s="145"/>
      <c r="M39" s="145">
        <f>H38+H19+Q19</f>
        <v>0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C23:I23"/>
    <mergeCell ref="C4:I4"/>
    <mergeCell ref="L4:R4"/>
  </mergeCells>
  <conditionalFormatting sqref="I7:I19 R7:R19 I26:I38">
    <cfRule type="cellIs" dxfId="4" priority="1" operator="equal">
      <formula>"û"</formula>
    </cfRule>
    <cfRule type="cellIs" dxfId="3" priority="2" operator="equal">
      <formula>"ü"</formula>
    </cfRule>
  </conditionalFormatting>
  <pageMargins left="0.59055118110236227" right="0.59055118110236227" top="0.39370078740157483" bottom="0.59055118110236227" header="0" footer="0.31496062992125984"/>
  <pageSetup paperSize="9" scale="8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  <pageSetUpPr fitToPage="1"/>
  </sheetPr>
  <dimension ref="A1:O112"/>
  <sheetViews>
    <sheetView showGridLines="0" topLeftCell="A23" zoomScale="90" zoomScaleNormal="90" workbookViewId="0">
      <selection activeCell="K50" sqref="K50"/>
    </sheetView>
  </sheetViews>
  <sheetFormatPr defaultColWidth="8.81640625" defaultRowHeight="13" x14ac:dyDescent="0.35"/>
  <cols>
    <col min="1" max="1" width="2.1796875" style="137" customWidth="1"/>
    <col min="2" max="2" width="35.81640625" style="137" bestFit="1" customWidth="1"/>
    <col min="3" max="3" width="2.1796875" style="137" customWidth="1"/>
    <col min="4" max="5" width="10.453125" style="137" bestFit="1" customWidth="1"/>
    <col min="6" max="6" width="2.1796875" style="137" customWidth="1"/>
    <col min="7" max="7" width="10.453125" style="137" bestFit="1" customWidth="1"/>
    <col min="8" max="8" width="10.54296875" style="137" bestFit="1" customWidth="1"/>
    <col min="9" max="9" width="9" style="137" bestFit="1" customWidth="1"/>
    <col min="10" max="10" width="10.1796875" style="137" bestFit="1" customWidth="1"/>
    <col min="11" max="11" width="10.81640625" style="137" bestFit="1" customWidth="1"/>
    <col min="12" max="12" width="2.1796875" style="137" customWidth="1"/>
    <col min="13" max="13" width="10.453125" style="137" bestFit="1" customWidth="1"/>
    <col min="14" max="14" width="10.81640625" style="137" bestFit="1" customWidth="1"/>
    <col min="15" max="15" width="10.1796875" style="122" bestFit="1" customWidth="1"/>
    <col min="16" max="61" width="10.81640625" style="137" bestFit="1" customWidth="1"/>
    <col min="62" max="62" width="7" style="137" bestFit="1" customWidth="1"/>
    <col min="63" max="63" width="10.81640625" style="137" bestFit="1" customWidth="1"/>
    <col min="64" max="16384" width="8.81640625" style="137"/>
  </cols>
  <sheetData>
    <row r="1" spans="1:15" s="209" customFormat="1" x14ac:dyDescent="0.35">
      <c r="A1" s="207"/>
      <c r="B1" s="208" t="str">
        <f>SETUP!C4&amp;" Parish Council"</f>
        <v>Barnton Parish Council</v>
      </c>
      <c r="C1" s="207"/>
      <c r="D1" s="208"/>
      <c r="E1" s="208"/>
      <c r="F1" s="207"/>
      <c r="G1" s="208"/>
      <c r="H1" s="208"/>
      <c r="I1" s="208"/>
      <c r="J1" s="208"/>
      <c r="K1" s="208"/>
      <c r="L1" s="207"/>
      <c r="M1" s="208"/>
      <c r="N1" s="208"/>
    </row>
    <row r="2" spans="1:15" s="209" customFormat="1" x14ac:dyDescent="0.35">
      <c r="A2" s="207"/>
      <c r="B2" s="208" t="s">
        <v>144</v>
      </c>
      <c r="C2" s="207"/>
      <c r="D2" s="208"/>
      <c r="E2" s="208"/>
      <c r="F2" s="207"/>
      <c r="G2" s="208"/>
      <c r="H2" s="208"/>
      <c r="I2" s="208"/>
      <c r="J2" s="208"/>
      <c r="K2" s="208"/>
      <c r="L2" s="207"/>
      <c r="M2" s="208"/>
      <c r="N2" s="208"/>
    </row>
    <row r="3" spans="1:15" s="122" customFormat="1" x14ac:dyDescent="0.3">
      <c r="A3" s="11"/>
      <c r="B3" s="151"/>
      <c r="C3" s="11"/>
      <c r="D3" s="151"/>
      <c r="E3" s="151"/>
      <c r="F3" s="11"/>
      <c r="G3" s="11"/>
      <c r="H3" s="151"/>
      <c r="I3" s="151"/>
      <c r="J3" s="151"/>
      <c r="K3" s="151"/>
      <c r="L3" s="11"/>
      <c r="N3" s="210"/>
    </row>
    <row r="4" spans="1:15" s="122" customFormat="1" ht="14.15" hidden="1" customHeight="1" x14ac:dyDescent="0.3">
      <c r="A4" s="11"/>
      <c r="B4" s="176" t="s">
        <v>110</v>
      </c>
      <c r="C4" s="11"/>
      <c r="D4" s="176" t="s">
        <v>110</v>
      </c>
      <c r="E4" s="176" t="s">
        <v>110</v>
      </c>
      <c r="F4" s="11"/>
      <c r="G4" s="176" t="s">
        <v>110</v>
      </c>
      <c r="H4" s="176" t="s">
        <v>110</v>
      </c>
      <c r="I4" s="176" t="s">
        <v>110</v>
      </c>
      <c r="J4" s="176" t="s">
        <v>110</v>
      </c>
      <c r="K4" s="176" t="s">
        <v>110</v>
      </c>
      <c r="L4" s="11"/>
      <c r="M4" s="176" t="s">
        <v>110</v>
      </c>
      <c r="N4" s="176" t="s">
        <v>110</v>
      </c>
    </row>
    <row r="5" spans="1:15" x14ac:dyDescent="0.35">
      <c r="A5" s="33"/>
      <c r="B5" s="333" t="s">
        <v>18</v>
      </c>
      <c r="C5" s="33"/>
      <c r="D5" s="332" t="str">
        <f>SETUP!C12</f>
        <v>2025-26</v>
      </c>
      <c r="E5" s="332"/>
      <c r="F5" s="33"/>
      <c r="G5" s="332" t="str">
        <f>SETUP!C13</f>
        <v>2026-27</v>
      </c>
      <c r="H5" s="332"/>
      <c r="I5" s="332"/>
      <c r="J5" s="332"/>
      <c r="K5" s="332"/>
      <c r="L5" s="33"/>
      <c r="M5" s="332" t="str">
        <f>SETUP!C14</f>
        <v>2027-28</v>
      </c>
      <c r="N5" s="332"/>
      <c r="O5" s="137"/>
    </row>
    <row r="6" spans="1:15" x14ac:dyDescent="0.35">
      <c r="B6" s="333"/>
      <c r="D6" s="105" t="s">
        <v>21</v>
      </c>
      <c r="E6" s="105" t="s">
        <v>81</v>
      </c>
      <c r="G6" s="105" t="s">
        <v>21</v>
      </c>
      <c r="H6" s="105" t="s">
        <v>81</v>
      </c>
      <c r="I6" s="105" t="s">
        <v>22</v>
      </c>
      <c r="J6" s="105" t="s">
        <v>20</v>
      </c>
      <c r="K6" s="105" t="s">
        <v>100</v>
      </c>
      <c r="M6" s="105" t="s">
        <v>21</v>
      </c>
      <c r="N6" s="212" t="s">
        <v>109</v>
      </c>
      <c r="O6" s="137"/>
    </row>
    <row r="7" spans="1:15" x14ac:dyDescent="0.35">
      <c r="B7" s="213" t="str">
        <f>SETUP!S4</f>
        <v>Allotments</v>
      </c>
      <c r="D7" s="204">
        <f>VLOOKUP($B7,SETUP!$S:$AB,2,FALSE)</f>
        <v>1105</v>
      </c>
      <c r="E7" s="204">
        <f>VLOOKUP($B7,SETUP!$S:$AB,3,FALSE)</f>
        <v>1230</v>
      </c>
      <c r="F7" s="145"/>
      <c r="G7" s="204">
        <f>VLOOKUP($B7,SETUP!$S:$AB,4,FALSE)</f>
        <v>1235</v>
      </c>
      <c r="H7" s="204">
        <f>VLOOKUP($B7,SETUP!$S:$AB,5,FALSE)</f>
        <v>195</v>
      </c>
      <c r="I7" s="204">
        <f>VLOOKUP($B7,SETUP!$S:$AB,6,FALSE)</f>
        <v>0</v>
      </c>
      <c r="J7" s="204">
        <f>VLOOKUP($B7,SETUP!$S:$AB,7,FALSE)</f>
        <v>195</v>
      </c>
      <c r="K7" s="204">
        <f>VLOOKUP($B7,SETUP!$S:$AB,8,FALSE)</f>
        <v>-1040</v>
      </c>
      <c r="L7" s="145"/>
      <c r="M7" s="204">
        <f>VLOOKUP($B7,SETUP!$S:$AB,9,FALSE)</f>
        <v>1235</v>
      </c>
      <c r="N7" s="204">
        <f>VLOOKUP($B7,SETUP!$S:$AB,10,FALSE)</f>
        <v>0</v>
      </c>
      <c r="O7" s="137"/>
    </row>
    <row r="8" spans="1:15" x14ac:dyDescent="0.35">
      <c r="B8" s="213" t="str">
        <f>SETUP!S5</f>
        <v>Burial Fees</v>
      </c>
      <c r="D8" s="204">
        <f>VLOOKUP(B8,SETUP!$S:$AB,2,FALSE)</f>
        <v>30000</v>
      </c>
      <c r="E8" s="204">
        <f>VLOOKUP($B8,SETUP!$S:$AB,3,FALSE)</f>
        <v>27889.5</v>
      </c>
      <c r="F8" s="145"/>
      <c r="G8" s="204">
        <f>VLOOKUP($B8,SETUP!$S:$AB,4,FALSE)</f>
        <v>30000</v>
      </c>
      <c r="H8" s="204">
        <f>VLOOKUP($B8,SETUP!$S:$AB,5,FALSE)</f>
        <v>3971</v>
      </c>
      <c r="I8" s="204">
        <f>VLOOKUP($B8,SETUP!$S:$AB,6,FALSE)</f>
        <v>0</v>
      </c>
      <c r="J8" s="204">
        <f>VLOOKUP($B8,SETUP!$S:$AB,7,FALSE)</f>
        <v>3971</v>
      </c>
      <c r="K8" s="204">
        <f>VLOOKUP($B8,SETUP!$S:$AB,8,FALSE)</f>
        <v>-26029</v>
      </c>
      <c r="L8" s="145"/>
      <c r="M8" s="204">
        <v>30000</v>
      </c>
      <c r="N8" s="204">
        <f>VLOOKUP($B8,SETUP!$S:$AB,10,FALSE)</f>
        <v>0</v>
      </c>
      <c r="O8" s="137"/>
    </row>
    <row r="9" spans="1:15" x14ac:dyDescent="0.35">
      <c r="B9" s="213" t="str">
        <f>SETUP!S6</f>
        <v>CW&amp;CC</v>
      </c>
      <c r="D9" s="204">
        <f>VLOOKUP(B9,SETUP!$S:$AB,2,FALSE)</f>
        <v>3000</v>
      </c>
      <c r="E9" s="204">
        <f>VLOOKUP($B9,SETUP!$S:$AB,3,FALSE)</f>
        <v>0</v>
      </c>
      <c r="F9" s="145"/>
      <c r="G9" s="204">
        <f>VLOOKUP($B9,SETUP!$S:$AB,4,FALSE)</f>
        <v>1000</v>
      </c>
      <c r="H9" s="204">
        <f>VLOOKUP($B9,SETUP!$S:$AB,5,FALSE)</f>
        <v>0</v>
      </c>
      <c r="I9" s="204">
        <f>VLOOKUP($B9,SETUP!$S:$AB,6,FALSE)</f>
        <v>0</v>
      </c>
      <c r="J9" s="204">
        <f>VLOOKUP($B9,SETUP!$S:$AB,7,FALSE)</f>
        <v>0</v>
      </c>
      <c r="K9" s="204">
        <f>VLOOKUP($B9,SETUP!$S:$AB,8,FALSE)</f>
        <v>-1000</v>
      </c>
      <c r="L9" s="145"/>
      <c r="M9" s="204">
        <f>SETUP!AA6</f>
        <v>1000</v>
      </c>
      <c r="N9" s="204">
        <f>VLOOKUP($B9,SETUP!$S:$AB,10,FALSE)</f>
        <v>0</v>
      </c>
      <c r="O9" s="137"/>
    </row>
    <row r="10" spans="1:15" x14ac:dyDescent="0.35">
      <c r="B10" s="213" t="str">
        <f>SETUP!S7</f>
        <v>Interest</v>
      </c>
      <c r="D10" s="204">
        <f>VLOOKUP(B10,SETUP!$S:$AB,2,FALSE)</f>
        <v>1300</v>
      </c>
      <c r="E10" s="204">
        <f>VLOOKUP($B10,SETUP!$S:$AB,3,FALSE)</f>
        <v>918.66000000000008</v>
      </c>
      <c r="F10" s="145"/>
      <c r="G10" s="204">
        <f>VLOOKUP($B10,SETUP!$S:$AB,4,FALSE)</f>
        <v>1300</v>
      </c>
      <c r="H10" s="204">
        <f>VLOOKUP($B10,SETUP!$S:$AB,5,FALSE)</f>
        <v>128.20999999999998</v>
      </c>
      <c r="I10" s="204">
        <f>VLOOKUP($B10,SETUP!$S:$AB,6,FALSE)</f>
        <v>0</v>
      </c>
      <c r="J10" s="204">
        <f>VLOOKUP($B10,SETUP!$S:$AB,7,FALSE)</f>
        <v>128.20999999999998</v>
      </c>
      <c r="K10" s="204">
        <f>VLOOKUP($B10,SETUP!$S:$AB,8,FALSE)</f>
        <v>-1171.79</v>
      </c>
      <c r="L10" s="145"/>
      <c r="M10" s="204">
        <f>VLOOKUP($B10,SETUP!$S:$AB,9,FALSE)</f>
        <v>1300</v>
      </c>
      <c r="N10" s="204">
        <f>VLOOKUP($B10,SETUP!$S:$AB,10,FALSE)</f>
        <v>0</v>
      </c>
      <c r="O10" s="137"/>
    </row>
    <row r="11" spans="1:15" x14ac:dyDescent="0.35">
      <c r="B11" s="213" t="str">
        <f>SETUP!S8</f>
        <v>Misc</v>
      </c>
      <c r="D11" s="204">
        <f>VLOOKUP(B11,SETUP!$S:$AB,2,FALSE)</f>
        <v>3000</v>
      </c>
      <c r="E11" s="204">
        <f>VLOOKUP($B11,SETUP!$S:$AB,3,FALSE)</f>
        <v>6854.92</v>
      </c>
      <c r="F11" s="145"/>
      <c r="G11" s="204">
        <f>VLOOKUP($B11,SETUP!$S:$AB,4,FALSE)</f>
        <v>3000</v>
      </c>
      <c r="H11" s="204">
        <f>VLOOKUP($B11,SETUP!$S:$AB,5,FALSE)</f>
        <v>0</v>
      </c>
      <c r="I11" s="204">
        <f>VLOOKUP($B11,SETUP!$S:$AB,6,FALSE)</f>
        <v>0</v>
      </c>
      <c r="J11" s="204">
        <f>VLOOKUP($B11,SETUP!$S:$AB,7,FALSE)</f>
        <v>0</v>
      </c>
      <c r="K11" s="204">
        <f>VLOOKUP($B11,SETUP!$S:$AB,8,FALSE)</f>
        <v>-3000</v>
      </c>
      <c r="L11" s="145"/>
      <c r="M11" s="204">
        <v>3000</v>
      </c>
      <c r="N11" s="204">
        <f>VLOOKUP($B11,SETUP!$S:$AB,10,FALSE)</f>
        <v>0</v>
      </c>
      <c r="O11" s="137"/>
    </row>
    <row r="12" spans="1:15" x14ac:dyDescent="0.35">
      <c r="B12" s="213" t="str">
        <f>SETUP!S9</f>
        <v>Precept</v>
      </c>
      <c r="D12" s="204">
        <f>VLOOKUP(B12,SETUP!$S:$AB,2,FALSE)</f>
        <v>123750</v>
      </c>
      <c r="E12" s="204">
        <f>VLOOKUP($B12,SETUP!$S:$AB,3,FALSE)</f>
        <v>123750</v>
      </c>
      <c r="F12" s="145"/>
      <c r="G12" s="204">
        <f>VLOOKUP($B12,SETUP!$S:$AB,4,FALSE)</f>
        <v>0</v>
      </c>
      <c r="H12" s="204">
        <f>VLOOKUP($B12,SETUP!$S:$AB,5,FALSE)</f>
        <v>155713</v>
      </c>
      <c r="I12" s="204">
        <f>VLOOKUP($B12,SETUP!$S:$AB,6,FALSE)</f>
        <v>0</v>
      </c>
      <c r="J12" s="204">
        <f>VLOOKUP($B12,SETUP!$S:$AB,7,FALSE)</f>
        <v>155713</v>
      </c>
      <c r="K12" s="204">
        <f>VLOOKUP($B12,SETUP!$S:$AB,8,FALSE)</f>
        <v>155713</v>
      </c>
      <c r="L12" s="145"/>
      <c r="M12" s="204">
        <f>VLOOKUP($B12,SETUP!$S:$AB,9,FALSE)</f>
        <v>0</v>
      </c>
      <c r="N12" s="204">
        <f>VLOOKUP($B12,SETUP!$S:$AB,10,FALSE)</f>
        <v>0</v>
      </c>
      <c r="O12" s="137"/>
    </row>
    <row r="13" spans="1:15" x14ac:dyDescent="0.35">
      <c r="B13" s="213" t="str">
        <f>SETUP!S10</f>
        <v>Room Hire</v>
      </c>
      <c r="D13" s="204">
        <f>VLOOKUP(B13,SETUP!$S:$AB,2,FALSE)</f>
        <v>0</v>
      </c>
      <c r="E13" s="204">
        <f>VLOOKUP($B13,SETUP!$S:$AB,3,FALSE)</f>
        <v>0</v>
      </c>
      <c r="F13" s="145"/>
      <c r="G13" s="204">
        <f>VLOOKUP($B13,SETUP!$S:$AB,4,FALSE)</f>
        <v>0</v>
      </c>
      <c r="H13" s="204">
        <f>VLOOKUP($B13,SETUP!$S:$AB,5,FALSE)</f>
        <v>0</v>
      </c>
      <c r="I13" s="204">
        <f>VLOOKUP($B13,SETUP!$S:$AB,6,FALSE)</f>
        <v>0</v>
      </c>
      <c r="J13" s="204">
        <f>VLOOKUP($B13,SETUP!$S:$AB,7,FALSE)</f>
        <v>0</v>
      </c>
      <c r="K13" s="204">
        <f>VLOOKUP($B13,SETUP!$S:$AB,8,FALSE)</f>
        <v>0</v>
      </c>
      <c r="L13" s="145"/>
      <c r="M13" s="204">
        <f>VLOOKUP($B13,SETUP!$S:$AB,9,FALSE)</f>
        <v>0</v>
      </c>
      <c r="N13" s="204">
        <f>VLOOKUP($B13,SETUP!$S:$AB,10,FALSE)</f>
        <v>0</v>
      </c>
      <c r="O13" s="137"/>
    </row>
    <row r="14" spans="1:15" x14ac:dyDescent="0.35">
      <c r="B14" s="213" t="str">
        <f>SETUP!S11</f>
        <v>VAT Recovered</v>
      </c>
      <c r="D14" s="204">
        <f>VLOOKUP(B14,SETUP!$S:$AB,2,FALSE)</f>
        <v>8509.84</v>
      </c>
      <c r="E14" s="204">
        <f>VLOOKUP($B14,SETUP!$S:$AB,3,FALSE)</f>
        <v>8509.84</v>
      </c>
      <c r="F14" s="145"/>
      <c r="G14" s="204">
        <f>VLOOKUP($B14,SETUP!$S:$AB,4,FALSE)</f>
        <v>8000</v>
      </c>
      <c r="H14" s="204">
        <f>VLOOKUP($B14,SETUP!$S:$AB,5,FALSE)</f>
        <v>10735.78</v>
      </c>
      <c r="I14" s="204">
        <f>VLOOKUP($B14,SETUP!$S:$AB,6,FALSE)</f>
        <v>0</v>
      </c>
      <c r="J14" s="204">
        <f>VLOOKUP($B14,SETUP!$S:$AB,7,FALSE)</f>
        <v>10735.78</v>
      </c>
      <c r="K14" s="204">
        <f>VLOOKUP($B14,SETUP!$S:$AB,8,FALSE)</f>
        <v>2735.7800000000007</v>
      </c>
      <c r="L14" s="145"/>
      <c r="M14" s="204">
        <f>SETUP!AA11</f>
        <v>8000</v>
      </c>
      <c r="N14" s="204">
        <f>VLOOKUP($B14,SETUP!$S:$AB,10,FALSE)</f>
        <v>0</v>
      </c>
      <c r="O14" s="137"/>
    </row>
    <row r="15" spans="1:15" x14ac:dyDescent="0.35">
      <c r="B15" s="213" t="str">
        <f>SETUP!S12</f>
        <v>Spare Code</v>
      </c>
      <c r="D15" s="204">
        <f>VLOOKUP(B15,SETUP!$S:$AB,2,FALSE)</f>
        <v>0</v>
      </c>
      <c r="E15" s="204">
        <f>VLOOKUP($B15,SETUP!$S:$AB,3,FALSE)</f>
        <v>0</v>
      </c>
      <c r="F15" s="145"/>
      <c r="G15" s="204">
        <f>VLOOKUP($B15,SETUP!$S:$AB,4,FALSE)</f>
        <v>0</v>
      </c>
      <c r="H15" s="204">
        <f>VLOOKUP($B15,SETUP!$S:$AB,5,FALSE)</f>
        <v>0</v>
      </c>
      <c r="I15" s="204">
        <f>VLOOKUP($B15,SETUP!$S:$AB,6,FALSE)</f>
        <v>0</v>
      </c>
      <c r="J15" s="204">
        <f>VLOOKUP($B15,SETUP!$S:$AB,7,FALSE)</f>
        <v>0</v>
      </c>
      <c r="K15" s="204">
        <f>VLOOKUP($B15,SETUP!$S:$AB,8,FALSE)</f>
        <v>0</v>
      </c>
      <c r="L15" s="145"/>
      <c r="M15" s="204">
        <f>VLOOKUP($B15,SETUP!$S:$AB,9,FALSE)</f>
        <v>0</v>
      </c>
      <c r="N15" s="204">
        <f>VLOOKUP($B15,SETUP!$S:$AB,10,FALSE)</f>
        <v>0</v>
      </c>
      <c r="O15" s="137"/>
    </row>
    <row r="16" spans="1:15" x14ac:dyDescent="0.35">
      <c r="B16" s="213" t="str">
        <f>SETUP!S13</f>
        <v>Spare Code</v>
      </c>
      <c r="D16" s="204">
        <f>VLOOKUP(B16,SETUP!$S:$AB,2,FALSE)</f>
        <v>0</v>
      </c>
      <c r="E16" s="204">
        <f>VLOOKUP($B16,SETUP!$S:$AB,3,FALSE)</f>
        <v>0</v>
      </c>
      <c r="F16" s="145"/>
      <c r="G16" s="204">
        <f>VLOOKUP($B16,SETUP!$S:$AB,4,FALSE)</f>
        <v>0</v>
      </c>
      <c r="H16" s="204">
        <f>VLOOKUP($B16,SETUP!$S:$AB,5,FALSE)</f>
        <v>0</v>
      </c>
      <c r="I16" s="204">
        <f>VLOOKUP($B16,SETUP!$S:$AB,6,FALSE)</f>
        <v>0</v>
      </c>
      <c r="J16" s="204">
        <f>VLOOKUP($B16,SETUP!$S:$AB,7,FALSE)</f>
        <v>0</v>
      </c>
      <c r="K16" s="204">
        <f>VLOOKUP($B16,SETUP!$S:$AB,8,FALSE)</f>
        <v>0</v>
      </c>
      <c r="L16" s="145"/>
      <c r="M16" s="204">
        <f>VLOOKUP($B16,SETUP!$S:$AB,9,FALSE)</f>
        <v>0</v>
      </c>
      <c r="N16" s="204">
        <f>VLOOKUP($B16,SETUP!$S:$AB,10,FALSE)</f>
        <v>0</v>
      </c>
      <c r="O16" s="137"/>
    </row>
    <row r="17" spans="1:15" x14ac:dyDescent="0.35">
      <c r="B17" s="213" t="str">
        <f>SETUP!S14</f>
        <v>Spare Code</v>
      </c>
      <c r="D17" s="204">
        <f>VLOOKUP(B17,SETUP!$S:$AB,2,FALSE)</f>
        <v>0</v>
      </c>
      <c r="E17" s="204">
        <f>VLOOKUP($B17,SETUP!$S:$AB,3,FALSE)</f>
        <v>0</v>
      </c>
      <c r="F17" s="145"/>
      <c r="G17" s="204">
        <f>VLOOKUP($B17,SETUP!$S:$AB,4,FALSE)</f>
        <v>0</v>
      </c>
      <c r="H17" s="204">
        <f>VLOOKUP($B17,SETUP!$S:$AB,5,FALSE)</f>
        <v>0</v>
      </c>
      <c r="I17" s="204">
        <f>VLOOKUP($B17,SETUP!$S:$AB,6,FALSE)</f>
        <v>0</v>
      </c>
      <c r="J17" s="204">
        <f>VLOOKUP($B17,SETUP!$S:$AB,7,FALSE)</f>
        <v>0</v>
      </c>
      <c r="K17" s="204">
        <f>VLOOKUP($B17,SETUP!$S:$AB,8,FALSE)</f>
        <v>0</v>
      </c>
      <c r="L17" s="145"/>
      <c r="M17" s="204">
        <f>VLOOKUP($B17,SETUP!$S:$AB,9,FALSE)</f>
        <v>0</v>
      </c>
      <c r="N17" s="204">
        <f>VLOOKUP($B17,SETUP!$S:$AB,10,FALSE)</f>
        <v>0</v>
      </c>
      <c r="O17" s="137"/>
    </row>
    <row r="18" spans="1:15" x14ac:dyDescent="0.35">
      <c r="B18" s="213" t="str">
        <f>SETUP!S15</f>
        <v>Spare Code</v>
      </c>
      <c r="D18" s="204">
        <f>VLOOKUP(B18,SETUP!$S:$AB,2,FALSE)</f>
        <v>0</v>
      </c>
      <c r="E18" s="204">
        <f>VLOOKUP($B18,SETUP!$S:$AB,3,FALSE)</f>
        <v>0</v>
      </c>
      <c r="F18" s="145"/>
      <c r="G18" s="204">
        <f>VLOOKUP($B18,SETUP!$S:$AB,4,FALSE)</f>
        <v>0</v>
      </c>
      <c r="H18" s="204">
        <f>VLOOKUP($B18,SETUP!$S:$AB,5,FALSE)</f>
        <v>0</v>
      </c>
      <c r="I18" s="204">
        <f>VLOOKUP($B18,SETUP!$S:$AB,6,FALSE)</f>
        <v>0</v>
      </c>
      <c r="J18" s="204">
        <f>VLOOKUP($B18,SETUP!$S:$AB,7,FALSE)</f>
        <v>0</v>
      </c>
      <c r="K18" s="204">
        <f>VLOOKUP($B18,SETUP!$S:$AB,8,FALSE)</f>
        <v>0</v>
      </c>
      <c r="L18" s="145"/>
      <c r="M18" s="204">
        <f>VLOOKUP($B18,SETUP!$S:$AB,9,FALSE)</f>
        <v>0</v>
      </c>
      <c r="N18" s="204">
        <f>VLOOKUP($B18,SETUP!$S:$AB,10,FALSE)</f>
        <v>0</v>
      </c>
      <c r="O18" s="137"/>
    </row>
    <row r="19" spans="1:15" x14ac:dyDescent="0.35">
      <c r="B19" s="213" t="str">
        <f>SETUP!S16</f>
        <v>Spare Code</v>
      </c>
      <c r="D19" s="204">
        <f>VLOOKUP(B19,SETUP!$S:$AB,2,FALSE)</f>
        <v>0</v>
      </c>
      <c r="E19" s="204">
        <f>VLOOKUP($B19,SETUP!$S:$AB,3,FALSE)</f>
        <v>0</v>
      </c>
      <c r="F19" s="145"/>
      <c r="G19" s="204">
        <f>VLOOKUP($B19,SETUP!$S:$AB,4,FALSE)</f>
        <v>0</v>
      </c>
      <c r="H19" s="204">
        <f>VLOOKUP($B19,SETUP!$S:$AB,5,FALSE)</f>
        <v>0</v>
      </c>
      <c r="I19" s="204">
        <f>VLOOKUP($B19,SETUP!$S:$AB,6,FALSE)</f>
        <v>0</v>
      </c>
      <c r="J19" s="204">
        <f>VLOOKUP($B19,SETUP!$S:$AB,7,FALSE)</f>
        <v>0</v>
      </c>
      <c r="K19" s="204">
        <f>VLOOKUP($B19,SETUP!$S:$AB,8,FALSE)</f>
        <v>0</v>
      </c>
      <c r="L19" s="145"/>
      <c r="M19" s="204">
        <f>VLOOKUP($B19,SETUP!$S:$AB,9,FALSE)</f>
        <v>0</v>
      </c>
      <c r="N19" s="204">
        <f>VLOOKUP($B19,SETUP!$S:$AB,10,FALSE)</f>
        <v>0</v>
      </c>
      <c r="O19" s="137"/>
    </row>
    <row r="20" spans="1:15" x14ac:dyDescent="0.35">
      <c r="B20" s="213" t="str">
        <f>SETUP!S17</f>
        <v>Spare Code</v>
      </c>
      <c r="D20" s="204">
        <f>VLOOKUP(B20,SETUP!$S:$AB,2,FALSE)</f>
        <v>0</v>
      </c>
      <c r="E20" s="204">
        <f>VLOOKUP($B20,SETUP!$S:$AB,3,FALSE)</f>
        <v>0</v>
      </c>
      <c r="F20" s="145"/>
      <c r="G20" s="204">
        <f>VLOOKUP($B20,SETUP!$S:$AB,4,FALSE)</f>
        <v>0</v>
      </c>
      <c r="H20" s="204">
        <f>VLOOKUP($B20,SETUP!$S:$AB,5,FALSE)</f>
        <v>0</v>
      </c>
      <c r="I20" s="204">
        <f>VLOOKUP($B20,SETUP!$S:$AB,6,FALSE)</f>
        <v>0</v>
      </c>
      <c r="J20" s="204">
        <f>VLOOKUP($B20,SETUP!$S:$AB,7,FALSE)</f>
        <v>0</v>
      </c>
      <c r="K20" s="204">
        <f>VLOOKUP($B20,SETUP!$S:$AB,8,FALSE)</f>
        <v>0</v>
      </c>
      <c r="L20" s="145"/>
      <c r="M20" s="204">
        <f>VLOOKUP($B20,SETUP!$S:$AB,9,FALSE)</f>
        <v>0</v>
      </c>
      <c r="N20" s="204">
        <f>VLOOKUP($B20,SETUP!$S:$AB,10,FALSE)</f>
        <v>0</v>
      </c>
      <c r="O20" s="137"/>
    </row>
    <row r="21" spans="1:15" x14ac:dyDescent="0.35">
      <c r="B21" s="213" t="str">
        <f>SETUP!S18</f>
        <v>Spare Code</v>
      </c>
      <c r="D21" s="204">
        <f>VLOOKUP(B21,SETUP!$S:$AB,2,FALSE)</f>
        <v>0</v>
      </c>
      <c r="E21" s="204">
        <f>VLOOKUP($B21,SETUP!$S:$AB,3,FALSE)</f>
        <v>0</v>
      </c>
      <c r="F21" s="145"/>
      <c r="G21" s="204">
        <f>VLOOKUP($B21,SETUP!$S:$AB,4,FALSE)</f>
        <v>0</v>
      </c>
      <c r="H21" s="204">
        <f>VLOOKUP($B21,SETUP!$S:$AB,5,FALSE)</f>
        <v>0</v>
      </c>
      <c r="I21" s="204">
        <f>VLOOKUP($B21,SETUP!$S:$AB,6,FALSE)</f>
        <v>0</v>
      </c>
      <c r="J21" s="204">
        <f>VLOOKUP($B21,SETUP!$S:$AB,7,FALSE)</f>
        <v>0</v>
      </c>
      <c r="K21" s="204">
        <f>VLOOKUP($B21,SETUP!$S:$AB,8,FALSE)</f>
        <v>0</v>
      </c>
      <c r="L21" s="145"/>
      <c r="M21" s="204">
        <f>VLOOKUP($B21,SETUP!$S:$AB,9,FALSE)</f>
        <v>0</v>
      </c>
      <c r="N21" s="204">
        <f>VLOOKUP($B21,SETUP!$S:$AB,10,FALSE)</f>
        <v>0</v>
      </c>
      <c r="O21" s="137"/>
    </row>
    <row r="22" spans="1:15" x14ac:dyDescent="0.35">
      <c r="B22" s="18" t="str">
        <f>"Total "&amp;B5</f>
        <v>Total Income</v>
      </c>
      <c r="D22" s="128">
        <f>SUM(D7:D21)</f>
        <v>170664.84</v>
      </c>
      <c r="E22" s="128">
        <f t="shared" ref="E22:N22" si="0">SUM(E7:E21)</f>
        <v>169152.92</v>
      </c>
      <c r="F22" s="145"/>
      <c r="G22" s="128">
        <f t="shared" si="0"/>
        <v>44535</v>
      </c>
      <c r="H22" s="128">
        <f t="shared" si="0"/>
        <v>170742.99</v>
      </c>
      <c r="I22" s="128">
        <f t="shared" si="0"/>
        <v>0</v>
      </c>
      <c r="J22" s="128">
        <f t="shared" si="0"/>
        <v>170742.99</v>
      </c>
      <c r="K22" s="128">
        <f t="shared" si="0"/>
        <v>126207.98999999999</v>
      </c>
      <c r="L22" s="145"/>
      <c r="M22" s="128">
        <f t="shared" si="0"/>
        <v>44535</v>
      </c>
      <c r="N22" s="128">
        <f t="shared" si="0"/>
        <v>0</v>
      </c>
      <c r="O22" s="137"/>
    </row>
    <row r="23" spans="1:15" x14ac:dyDescent="0.35">
      <c r="F23" s="145"/>
      <c r="K23" s="210"/>
      <c r="L23" s="145"/>
      <c r="N23" s="210"/>
    </row>
    <row r="24" spans="1:15" x14ac:dyDescent="0.35">
      <c r="K24" s="210"/>
      <c r="N24" s="210"/>
    </row>
    <row r="25" spans="1:15" x14ac:dyDescent="0.35">
      <c r="A25" s="33"/>
      <c r="B25" s="333" t="s">
        <v>17</v>
      </c>
      <c r="C25" s="33"/>
      <c r="D25" s="332" t="str">
        <f>SETUP!C12</f>
        <v>2025-26</v>
      </c>
      <c r="E25" s="332"/>
      <c r="F25" s="33"/>
      <c r="G25" s="332" t="str">
        <f>SETUP!C13</f>
        <v>2026-27</v>
      </c>
      <c r="H25" s="332"/>
      <c r="I25" s="332"/>
      <c r="J25" s="332"/>
      <c r="K25" s="332"/>
      <c r="L25" s="33"/>
      <c r="M25" s="332" t="str">
        <f>SETUP!C14</f>
        <v>2027-28</v>
      </c>
      <c r="N25" s="332"/>
      <c r="O25" s="137"/>
    </row>
    <row r="26" spans="1:15" x14ac:dyDescent="0.35">
      <c r="B26" s="333"/>
      <c r="D26" s="105" t="s">
        <v>21</v>
      </c>
      <c r="E26" s="105" t="s">
        <v>81</v>
      </c>
      <c r="G26" s="105" t="s">
        <v>21</v>
      </c>
      <c r="H26" s="105" t="s">
        <v>81</v>
      </c>
      <c r="I26" s="105" t="s">
        <v>19</v>
      </c>
      <c r="J26" s="105" t="s">
        <v>20</v>
      </c>
      <c r="K26" s="105" t="s">
        <v>100</v>
      </c>
      <c r="M26" s="105" t="s">
        <v>21</v>
      </c>
      <c r="N26" s="212" t="s">
        <v>109</v>
      </c>
      <c r="O26" s="137"/>
    </row>
    <row r="27" spans="1:15" x14ac:dyDescent="0.35">
      <c r="B27" s="221" t="str">
        <f>SETUP!H4</f>
        <v>Administration</v>
      </c>
      <c r="D27" s="214"/>
      <c r="E27" s="114"/>
      <c r="F27" s="145"/>
      <c r="G27" s="214"/>
      <c r="H27" s="160"/>
      <c r="I27" s="160"/>
      <c r="J27" s="160"/>
      <c r="K27" s="114"/>
      <c r="L27" s="145"/>
      <c r="M27" s="214"/>
      <c r="N27" s="114"/>
    </row>
    <row r="28" spans="1:15" x14ac:dyDescent="0.35">
      <c r="B28" s="175" t="str">
        <f>SETUP!H5</f>
        <v>Clerk Salary (net)</v>
      </c>
      <c r="D28" s="204">
        <f>VLOOKUP($B28,SETUP!$H:$Q,2,FALSE)</f>
        <v>28000</v>
      </c>
      <c r="E28" s="204">
        <f>VLOOKUP($B28,SETUP!$H:$Q,3,FALSE)</f>
        <v>28269.700000000004</v>
      </c>
      <c r="F28" s="145"/>
      <c r="G28" s="116">
        <f>VLOOKUP($B28,SETUP!$H:$Q,4,FALSE)</f>
        <v>33000</v>
      </c>
      <c r="H28" s="116">
        <f>VLOOKUP($B28,SETUP!$H:$Q,5,FALSE)</f>
        <v>4988.1000000000004</v>
      </c>
      <c r="I28" s="116">
        <f>VLOOKUP($B28,SETUP!$H:$Q,6,FALSE)</f>
        <v>0</v>
      </c>
      <c r="J28" s="116">
        <f>VLOOKUP($B28,SETUP!$H:$Q,7,FALSE)</f>
        <v>4988.1000000000004</v>
      </c>
      <c r="K28" s="116">
        <f>VLOOKUP($B28,SETUP!$H:$Q,8,FALSE)</f>
        <v>28011.9</v>
      </c>
      <c r="L28" s="145"/>
      <c r="M28" s="116">
        <f>VLOOKUP($B28,SETUP!$H:$Q,9,FALSE)</f>
        <v>33000</v>
      </c>
      <c r="N28" s="116">
        <f>VLOOKUP($B28,SETUP!$H:$Q,10,FALSE)</f>
        <v>0</v>
      </c>
    </row>
    <row r="29" spans="1:15" x14ac:dyDescent="0.35">
      <c r="B29" s="175" t="str">
        <f>SETUP!H6</f>
        <v>Assistant Clerk Salary (net)</v>
      </c>
      <c r="D29" s="204">
        <f>VLOOKUP($B29,SETUP!$H:$Q,2,FALSE)</f>
        <v>24000</v>
      </c>
      <c r="E29" s="204">
        <f>VLOOKUP($B29,SETUP!$H:$Q,3,FALSE)</f>
        <v>18739.98</v>
      </c>
      <c r="F29" s="145"/>
      <c r="G29" s="116">
        <f>VLOOKUP($B29,SETUP!$H:$Q,4,FALSE)</f>
        <v>16000</v>
      </c>
      <c r="H29" s="116">
        <f>VLOOKUP($B29,SETUP!$H:$Q,5,FALSE)</f>
        <v>2496.52</v>
      </c>
      <c r="I29" s="116">
        <f>VLOOKUP($B29,SETUP!$H:$Q,6,FALSE)</f>
        <v>0</v>
      </c>
      <c r="J29" s="116">
        <f>VLOOKUP($B29,SETUP!$H:$Q,7,FALSE)</f>
        <v>2496.52</v>
      </c>
      <c r="K29" s="116">
        <f>VLOOKUP($B29,SETUP!$H:$Q,8,FALSE)</f>
        <v>13503.48</v>
      </c>
      <c r="L29" s="145"/>
      <c r="M29" s="116">
        <f>VLOOKUP($B29,SETUP!$H:$Q,9,FALSE)</f>
        <v>16000</v>
      </c>
      <c r="N29" s="116">
        <f>VLOOKUP($B29,SETUP!$H:$Q,10,FALSE)</f>
        <v>0</v>
      </c>
    </row>
    <row r="30" spans="1:15" x14ac:dyDescent="0.35">
      <c r="B30" s="175" t="str">
        <f>SETUP!H7</f>
        <v>Park Warden Salary (net)</v>
      </c>
      <c r="D30" s="204">
        <f>VLOOKUP($B30,SETUP!$H:$Q,2,FALSE)</f>
        <v>7200</v>
      </c>
      <c r="E30" s="204">
        <f>VLOOKUP($B30,SETUP!$H:$Q,3,FALSE)</f>
        <v>7303.2400000000007</v>
      </c>
      <c r="F30" s="145"/>
      <c r="G30" s="116">
        <f>VLOOKUP($B30,SETUP!$H:$Q,4,FALSE)</f>
        <v>7400</v>
      </c>
      <c r="H30" s="116">
        <f>VLOOKUP($B30,SETUP!$H:$Q,5,FALSE)</f>
        <v>1258.8400000000001</v>
      </c>
      <c r="I30" s="116">
        <f>VLOOKUP($B30,SETUP!$H:$Q,6,FALSE)</f>
        <v>0</v>
      </c>
      <c r="J30" s="116">
        <f>VLOOKUP($B30,SETUP!$H:$Q,7,FALSE)</f>
        <v>1258.8400000000001</v>
      </c>
      <c r="K30" s="116">
        <f>VLOOKUP($B30,SETUP!$H:$Q,8,FALSE)</f>
        <v>6141.16</v>
      </c>
      <c r="L30" s="145"/>
      <c r="M30" s="116">
        <f>VLOOKUP($B30,SETUP!$H:$Q,9,FALSE)</f>
        <v>7400</v>
      </c>
      <c r="N30" s="116">
        <f>VLOOKUP($B30,SETUP!$H:$Q,10,FALSE)</f>
        <v>0</v>
      </c>
    </row>
    <row r="31" spans="1:15" x14ac:dyDescent="0.35">
      <c r="B31" s="175" t="str">
        <f>SETUP!H8</f>
        <v>Village Orderly Salary (net)</v>
      </c>
      <c r="D31" s="204">
        <f>VLOOKUP($B31,SETUP!$H:$Q,2,FALSE)</f>
        <v>6200</v>
      </c>
      <c r="E31" s="204">
        <f>VLOOKUP($B31,SETUP!$H:$Q,3,FALSE)</f>
        <v>6297.1999999999989</v>
      </c>
      <c r="F31" s="145"/>
      <c r="G31" s="116">
        <f>VLOOKUP($B31,SETUP!$H:$Q,4,FALSE)</f>
        <v>6400</v>
      </c>
      <c r="H31" s="116">
        <f>VLOOKUP($B31,SETUP!$H:$Q,5,FALSE)</f>
        <v>1083.54</v>
      </c>
      <c r="I31" s="116">
        <f>VLOOKUP($B31,SETUP!$H:$Q,6,FALSE)</f>
        <v>0</v>
      </c>
      <c r="J31" s="116">
        <f>VLOOKUP($B31,SETUP!$H:$Q,7,FALSE)</f>
        <v>1083.54</v>
      </c>
      <c r="K31" s="116">
        <f>VLOOKUP($B31,SETUP!$H:$Q,8,FALSE)</f>
        <v>5316.46</v>
      </c>
      <c r="L31" s="145"/>
      <c r="M31" s="116">
        <f>VLOOKUP($B31,SETUP!$H:$Q,9,FALSE)</f>
        <v>6400</v>
      </c>
      <c r="N31" s="116">
        <f>VLOOKUP($B31,SETUP!$H:$Q,10,FALSE)</f>
        <v>0</v>
      </c>
    </row>
    <row r="32" spans="1:15" x14ac:dyDescent="0.35">
      <c r="B32" s="175" t="str">
        <f>SETUP!H9</f>
        <v>LGA Pension</v>
      </c>
      <c r="D32" s="204">
        <f>VLOOKUP($B32,SETUP!$H:$Q,2,FALSE)</f>
        <v>18500</v>
      </c>
      <c r="E32" s="204">
        <f>VLOOKUP($B32,SETUP!$H:$Q,3,FALSE)</f>
        <v>17133.039999999997</v>
      </c>
      <c r="F32" s="145"/>
      <c r="G32" s="116">
        <f>VLOOKUP($B32,SETUP!$H:$Q,4,FALSE)</f>
        <v>18500</v>
      </c>
      <c r="H32" s="116">
        <f>VLOOKUP($B32,SETUP!$H:$Q,5,FALSE)</f>
        <v>2512.56</v>
      </c>
      <c r="I32" s="116">
        <f>VLOOKUP($B32,SETUP!$H:$Q,6,FALSE)</f>
        <v>0</v>
      </c>
      <c r="J32" s="116">
        <f>VLOOKUP($B32,SETUP!$H:$Q,7,FALSE)</f>
        <v>2512.56</v>
      </c>
      <c r="K32" s="116">
        <f>VLOOKUP($B32,SETUP!$H:$Q,8,FALSE)</f>
        <v>15987.44</v>
      </c>
      <c r="L32" s="145"/>
      <c r="M32" s="116">
        <f>VLOOKUP($B32,SETUP!$H:$Q,9,FALSE)</f>
        <v>18500</v>
      </c>
      <c r="N32" s="116">
        <f>VLOOKUP($B32,SETUP!$H:$Q,10,FALSE)</f>
        <v>0</v>
      </c>
    </row>
    <row r="33" spans="2:15" x14ac:dyDescent="0.35">
      <c r="B33" s="175" t="str">
        <f>SETUP!H10</f>
        <v>PAYE/NI</v>
      </c>
      <c r="D33" s="204">
        <f>VLOOKUP($B33,SETUP!$H:$Q,2,FALSE)</f>
        <v>17500</v>
      </c>
      <c r="E33" s="204">
        <f>VLOOKUP($B33,SETUP!$H:$Q,3,FALSE)</f>
        <v>17237.890000000003</v>
      </c>
      <c r="F33" s="145"/>
      <c r="G33" s="116">
        <f>VLOOKUP($B33,SETUP!$H:$Q,4,FALSE)</f>
        <v>15000</v>
      </c>
      <c r="H33" s="116">
        <f>VLOOKUP($B33,SETUP!$H:$Q,5,FALSE)</f>
        <v>2697.6400000000003</v>
      </c>
      <c r="I33" s="116">
        <f>VLOOKUP($B33,SETUP!$H:$Q,6,FALSE)</f>
        <v>0</v>
      </c>
      <c r="J33" s="116">
        <f>VLOOKUP($B33,SETUP!$H:$Q,7,FALSE)</f>
        <v>2697.6400000000003</v>
      </c>
      <c r="K33" s="116">
        <f>VLOOKUP($B33,SETUP!$H:$Q,8,FALSE)</f>
        <v>12302.36</v>
      </c>
      <c r="L33" s="145"/>
      <c r="M33" s="116">
        <f>VLOOKUP($B33,SETUP!$H:$Q,9,FALSE)</f>
        <v>15000</v>
      </c>
      <c r="N33" s="116">
        <f>VLOOKUP($B33,SETUP!$H:$Q,10,FALSE)</f>
        <v>0</v>
      </c>
    </row>
    <row r="34" spans="2:15" x14ac:dyDescent="0.35">
      <c r="B34" s="175" t="str">
        <f>SETUP!H11</f>
        <v>Payroll services</v>
      </c>
      <c r="D34" s="204">
        <f>VLOOKUP($B34,SETUP!$H:$Q,2,FALSE)</f>
        <v>360</v>
      </c>
      <c r="E34" s="204">
        <f>VLOOKUP($B34,SETUP!$H:$Q,3,FALSE)</f>
        <v>552</v>
      </c>
      <c r="F34" s="145"/>
      <c r="G34" s="116">
        <f>VLOOKUP($B34,SETUP!$H:$Q,4,FALSE)</f>
        <v>366</v>
      </c>
      <c r="H34" s="116">
        <f>VLOOKUP($B34,SETUP!$H:$Q,5,FALSE)</f>
        <v>0</v>
      </c>
      <c r="I34" s="116">
        <f>VLOOKUP($B34,SETUP!$H:$Q,6,FALSE)</f>
        <v>0</v>
      </c>
      <c r="J34" s="116">
        <f>VLOOKUP($B34,SETUP!$H:$Q,7,FALSE)</f>
        <v>0</v>
      </c>
      <c r="K34" s="116">
        <f>VLOOKUP($B34,SETUP!$H:$Q,8,FALSE)</f>
        <v>366</v>
      </c>
      <c r="L34" s="145"/>
      <c r="M34" s="116">
        <f>VLOOKUP($B34,SETUP!$H:$Q,9,FALSE)</f>
        <v>366</v>
      </c>
      <c r="N34" s="116">
        <f>VLOOKUP($B34,SETUP!$H:$Q,10,FALSE)</f>
        <v>0</v>
      </c>
    </row>
    <row r="35" spans="2:15" x14ac:dyDescent="0.35">
      <c r="B35" s="175" t="str">
        <f>SETUP!H12</f>
        <v>Training &amp; Development</v>
      </c>
      <c r="D35" s="204">
        <f>VLOOKUP($B35,SETUP!$H:$Q,2,FALSE)</f>
        <v>500</v>
      </c>
      <c r="E35" s="204">
        <f>VLOOKUP($B35,SETUP!$H:$Q,3,FALSE)</f>
        <v>96.16</v>
      </c>
      <c r="F35" s="145"/>
      <c r="G35" s="116">
        <f>VLOOKUP($B35,SETUP!$H:$Q,4,FALSE)</f>
        <v>500</v>
      </c>
      <c r="H35" s="116">
        <f>VLOOKUP($B35,SETUP!$H:$Q,5,FALSE)</f>
        <v>25</v>
      </c>
      <c r="I35" s="116">
        <f>VLOOKUP($B35,SETUP!$H:$Q,6,FALSE)</f>
        <v>0</v>
      </c>
      <c r="J35" s="116">
        <f>VLOOKUP($B35,SETUP!$H:$Q,7,FALSE)</f>
        <v>25</v>
      </c>
      <c r="K35" s="116">
        <f>VLOOKUP($B35,SETUP!$H:$Q,8,FALSE)</f>
        <v>475</v>
      </c>
      <c r="L35" s="145"/>
      <c r="M35" s="116">
        <f>VLOOKUP($B35,SETUP!$H:$Q,9,FALSE)</f>
        <v>500</v>
      </c>
      <c r="N35" s="116">
        <f>VLOOKUP($B35,SETUP!$H:$Q,10,FALSE)</f>
        <v>0</v>
      </c>
    </row>
    <row r="36" spans="2:15" x14ac:dyDescent="0.35">
      <c r="B36" s="175" t="str">
        <f>SETUP!H13</f>
        <v>IT</v>
      </c>
      <c r="D36" s="204">
        <f>VLOOKUP($B36,SETUP!$H:$Q,2,FALSE)</f>
        <v>500</v>
      </c>
      <c r="E36" s="204">
        <f>VLOOKUP($B36,SETUP!$H:$Q,3,FALSE)</f>
        <v>1992.66</v>
      </c>
      <c r="F36" s="145"/>
      <c r="G36" s="116">
        <f>VLOOKUP($B36,SETUP!$H:$Q,4,FALSE)</f>
        <v>500</v>
      </c>
      <c r="H36" s="116">
        <f>VLOOKUP($B36,SETUP!$H:$Q,5,FALSE)</f>
        <v>159.9</v>
      </c>
      <c r="I36" s="116">
        <f>VLOOKUP($B36,SETUP!$H:$Q,6,FALSE)</f>
        <v>0</v>
      </c>
      <c r="J36" s="116">
        <f>VLOOKUP($B36,SETUP!$H:$Q,7,FALSE)</f>
        <v>159.9</v>
      </c>
      <c r="K36" s="116">
        <f>VLOOKUP($B36,SETUP!$H:$Q,8,FALSE)</f>
        <v>340.1</v>
      </c>
      <c r="L36" s="145"/>
      <c r="M36" s="116">
        <f>VLOOKUP($B36,SETUP!$H:$Q,9,FALSE)</f>
        <v>500</v>
      </c>
      <c r="N36" s="116">
        <f>VLOOKUP($B36,SETUP!$H:$Q,10,FALSE)</f>
        <v>0</v>
      </c>
    </row>
    <row r="37" spans="2:15" x14ac:dyDescent="0.35">
      <c r="B37" s="175" t="str">
        <f>SETUP!H14</f>
        <v>Office equipment</v>
      </c>
      <c r="D37" s="204">
        <f>VLOOKUP($B37,SETUP!$H:$Q,2,FALSE)</f>
        <v>4000</v>
      </c>
      <c r="E37" s="204">
        <f>VLOOKUP($B37,SETUP!$H:$Q,3,FALSE)</f>
        <v>4421.18</v>
      </c>
      <c r="F37" s="145"/>
      <c r="G37" s="116">
        <f>VLOOKUP($B37,SETUP!$H:$Q,4,FALSE)</f>
        <v>4000</v>
      </c>
      <c r="H37" s="116">
        <f>VLOOKUP($B37,SETUP!$H:$Q,5,FALSE)</f>
        <v>518.81999999999994</v>
      </c>
      <c r="I37" s="116">
        <f>VLOOKUP($B37,SETUP!$H:$Q,6,FALSE)</f>
        <v>0</v>
      </c>
      <c r="J37" s="116">
        <f>VLOOKUP($B37,SETUP!$H:$Q,7,FALSE)</f>
        <v>518.81999999999994</v>
      </c>
      <c r="K37" s="116">
        <f>VLOOKUP($B37,SETUP!$H:$Q,8,FALSE)</f>
        <v>3481.1800000000003</v>
      </c>
      <c r="L37" s="145"/>
      <c r="M37" s="116">
        <f>VLOOKUP($B37,SETUP!$H:$Q,9,FALSE)</f>
        <v>4000</v>
      </c>
      <c r="N37" s="116">
        <f>VLOOKUP($B37,SETUP!$H:$Q,10,FALSE)</f>
        <v>0</v>
      </c>
    </row>
    <row r="38" spans="2:15" x14ac:dyDescent="0.35">
      <c r="B38" s="175" t="str">
        <f>SETUP!H15</f>
        <v>Travel/Expenses (staff)</v>
      </c>
      <c r="D38" s="204">
        <f>VLOOKUP($B38,SETUP!$H:$Q,2,FALSE)</f>
        <v>1000</v>
      </c>
      <c r="E38" s="204">
        <f>VLOOKUP($B38,SETUP!$H:$Q,3,FALSE)</f>
        <v>806.34</v>
      </c>
      <c r="F38" s="145"/>
      <c r="G38" s="116">
        <f>VLOOKUP($B38,SETUP!$H:$Q,4,FALSE)</f>
        <v>700</v>
      </c>
      <c r="H38" s="116">
        <f>VLOOKUP($B38,SETUP!$H:$Q,5,FALSE)</f>
        <v>112.75</v>
      </c>
      <c r="I38" s="116">
        <f>VLOOKUP($B38,SETUP!$H:$Q,6,FALSE)</f>
        <v>0</v>
      </c>
      <c r="J38" s="116">
        <f>VLOOKUP($B38,SETUP!$H:$Q,7,FALSE)</f>
        <v>112.75</v>
      </c>
      <c r="K38" s="116">
        <f>VLOOKUP($B38,SETUP!$H:$Q,8,FALSE)</f>
        <v>587.25</v>
      </c>
      <c r="L38" s="145"/>
      <c r="M38" s="116">
        <f>VLOOKUP($B38,SETUP!$H:$Q,9,FALSE)</f>
        <v>700</v>
      </c>
      <c r="N38" s="116">
        <f>VLOOKUP($B38,SETUP!$H:$Q,10,FALSE)</f>
        <v>0</v>
      </c>
    </row>
    <row r="39" spans="2:15" x14ac:dyDescent="0.35">
      <c r="B39" s="175" t="str">
        <f>SETUP!H16</f>
        <v>Bid writing</v>
      </c>
      <c r="D39" s="204">
        <f>VLOOKUP($B39,SETUP!$H:$Q,2,FALSE)</f>
        <v>0</v>
      </c>
      <c r="E39" s="204">
        <f>VLOOKUP($B39,SETUP!$H:$Q,3,FALSE)</f>
        <v>0</v>
      </c>
      <c r="F39" s="145"/>
      <c r="G39" s="116">
        <f>VLOOKUP($B39,SETUP!$H:$Q,4,FALSE)</f>
        <v>0</v>
      </c>
      <c r="H39" s="116">
        <f>VLOOKUP($B39,SETUP!$H:$Q,5,FALSE)</f>
        <v>0</v>
      </c>
      <c r="I39" s="116">
        <f>VLOOKUP($B39,SETUP!$H:$Q,6,FALSE)</f>
        <v>0</v>
      </c>
      <c r="J39" s="116">
        <f>VLOOKUP($B39,SETUP!$H:$Q,7,FALSE)</f>
        <v>0</v>
      </c>
      <c r="K39" s="116">
        <f>VLOOKUP($B39,SETUP!$H:$Q,8,FALSE)</f>
        <v>0</v>
      </c>
      <c r="L39" s="145"/>
      <c r="M39" s="116">
        <f>VLOOKUP($B39,SETUP!$H:$Q,9,FALSE)</f>
        <v>0</v>
      </c>
      <c r="N39" s="116">
        <f>VLOOKUP($B39,SETUP!$H:$Q,10,FALSE)</f>
        <v>0</v>
      </c>
    </row>
    <row r="40" spans="2:15" x14ac:dyDescent="0.35">
      <c r="B40" s="175" t="str">
        <f>SETUP!H17</f>
        <v>Newsletter</v>
      </c>
      <c r="D40" s="204">
        <f>VLOOKUP($B40,SETUP!$H:$Q,2,FALSE)</f>
        <v>2000</v>
      </c>
      <c r="E40" s="204">
        <f>VLOOKUP($B40,SETUP!$H:$Q,3,FALSE)</f>
        <v>1407.12</v>
      </c>
      <c r="F40" s="145"/>
      <c r="G40" s="116">
        <f>VLOOKUP($B40,SETUP!$H:$Q,4,FALSE)</f>
        <v>1500</v>
      </c>
      <c r="H40" s="116">
        <f>VLOOKUP($B40,SETUP!$H:$Q,5,FALSE)</f>
        <v>0</v>
      </c>
      <c r="I40" s="116">
        <f>VLOOKUP($B40,SETUP!$H:$Q,6,FALSE)</f>
        <v>0</v>
      </c>
      <c r="J40" s="116">
        <f>VLOOKUP($B40,SETUP!$H:$Q,7,FALSE)</f>
        <v>0</v>
      </c>
      <c r="K40" s="116">
        <f>VLOOKUP($B40,SETUP!$H:$Q,8,FALSE)</f>
        <v>1500</v>
      </c>
      <c r="L40" s="145"/>
      <c r="M40" s="116">
        <f>VLOOKUP($B40,SETUP!$H:$Q,9,FALSE)</f>
        <v>1500</v>
      </c>
      <c r="N40" s="116">
        <f>VLOOKUP($B40,SETUP!$H:$Q,10,FALSE)</f>
        <v>0</v>
      </c>
    </row>
    <row r="41" spans="2:15" x14ac:dyDescent="0.35">
      <c r="B41" s="175" t="str">
        <f>SETUP!H18</f>
        <v>Spare Code</v>
      </c>
      <c r="D41" s="204">
        <f>VLOOKUP($B41,SETUP!$H:$Q,2,FALSE)</f>
        <v>0</v>
      </c>
      <c r="E41" s="204">
        <f>VLOOKUP($B41,SETUP!$H:$Q,3,FALSE)</f>
        <v>0</v>
      </c>
      <c r="F41" s="145"/>
      <c r="G41" s="116">
        <f>VLOOKUP($B41,SETUP!$H:$Q,4,FALSE)</f>
        <v>0</v>
      </c>
      <c r="H41" s="116">
        <f>VLOOKUP($B41,SETUP!$H:$Q,5,FALSE)</f>
        <v>0</v>
      </c>
      <c r="I41" s="116">
        <f>VLOOKUP($B41,SETUP!$H:$Q,6,FALSE)</f>
        <v>0</v>
      </c>
      <c r="J41" s="116">
        <f>VLOOKUP($B41,SETUP!$H:$Q,7,FALSE)</f>
        <v>0</v>
      </c>
      <c r="K41" s="116">
        <f>VLOOKUP($B41,SETUP!$H:$Q,8,FALSE)</f>
        <v>0</v>
      </c>
      <c r="L41" s="145"/>
      <c r="M41" s="116">
        <v>0</v>
      </c>
      <c r="N41" s="116">
        <f>VLOOKUP($B41,SETUP!$H:$Q,10,FALSE)</f>
        <v>0</v>
      </c>
    </row>
    <row r="42" spans="2:15" x14ac:dyDescent="0.35">
      <c r="B42" s="175" t="str">
        <f>SETUP!H19</f>
        <v>Spare Code</v>
      </c>
      <c r="D42" s="204">
        <f>VLOOKUP($B42,SETUP!$H:$Q,2,FALSE)</f>
        <v>0</v>
      </c>
      <c r="E42" s="204">
        <f>VLOOKUP($B42,SETUP!$H:$Q,3,FALSE)</f>
        <v>0</v>
      </c>
      <c r="F42" s="145"/>
      <c r="G42" s="116">
        <f>VLOOKUP($B42,SETUP!$H:$Q,4,FALSE)</f>
        <v>0</v>
      </c>
      <c r="H42" s="116">
        <f>VLOOKUP($B42,SETUP!$H:$Q,5,FALSE)</f>
        <v>0</v>
      </c>
      <c r="I42" s="116">
        <f>VLOOKUP($B42,SETUP!$H:$Q,6,FALSE)</f>
        <v>0</v>
      </c>
      <c r="J42" s="116">
        <f>VLOOKUP($B42,SETUP!$H:$Q,7,FALSE)</f>
        <v>0</v>
      </c>
      <c r="K42" s="116">
        <f>VLOOKUP($B42,SETUP!$H:$Q,8,FALSE)</f>
        <v>0</v>
      </c>
      <c r="L42" s="145"/>
      <c r="M42" s="116">
        <v>0</v>
      </c>
      <c r="N42" s="116">
        <f>VLOOKUP($B42,SETUP!$H:$Q,10,FALSE)</f>
        <v>0</v>
      </c>
    </row>
    <row r="43" spans="2:15" x14ac:dyDescent="0.35">
      <c r="B43" s="250" t="str">
        <f>"Total "&amp;B27</f>
        <v>Total Administration</v>
      </c>
      <c r="D43" s="215">
        <f>SUM(D28:D42)</f>
        <v>109760</v>
      </c>
      <c r="E43" s="165">
        <f t="shared" ref="E43:N43" si="1">SUM(E28:E42)</f>
        <v>104256.51000000001</v>
      </c>
      <c r="F43" s="145"/>
      <c r="G43" s="215">
        <f t="shared" si="1"/>
        <v>103866</v>
      </c>
      <c r="H43" s="215">
        <f t="shared" si="1"/>
        <v>15853.67</v>
      </c>
      <c r="I43" s="215">
        <f t="shared" si="1"/>
        <v>0</v>
      </c>
      <c r="J43" s="215">
        <f t="shared" si="1"/>
        <v>15853.67</v>
      </c>
      <c r="K43" s="165">
        <f t="shared" si="1"/>
        <v>88012.330000000016</v>
      </c>
      <c r="L43" s="145"/>
      <c r="M43" s="215">
        <f t="shared" si="1"/>
        <v>103866</v>
      </c>
      <c r="N43" s="165">
        <f t="shared" si="1"/>
        <v>0</v>
      </c>
    </row>
    <row r="44" spans="2:15" x14ac:dyDescent="0.35">
      <c r="O44" s="137"/>
    </row>
    <row r="45" spans="2:15" x14ac:dyDescent="0.35">
      <c r="B45" s="221" t="str">
        <f>SETUP!H20</f>
        <v>Governance</v>
      </c>
      <c r="D45" s="214"/>
      <c r="E45" s="114"/>
      <c r="F45" s="145"/>
      <c r="G45" s="214"/>
      <c r="H45" s="160"/>
      <c r="I45" s="160"/>
      <c r="J45" s="160"/>
      <c r="K45" s="114"/>
      <c r="L45" s="145"/>
      <c r="M45" s="214"/>
      <c r="N45" s="114"/>
    </row>
    <row r="46" spans="2:15" x14ac:dyDescent="0.35">
      <c r="B46" s="175" t="str">
        <f>SETUP!H21</f>
        <v>Insurance</v>
      </c>
      <c r="D46" s="204">
        <f>VLOOKUP($B46,SETUP!$H:$Q,2,FALSE)</f>
        <v>2500</v>
      </c>
      <c r="E46" s="204">
        <f>VLOOKUP($B46,SETUP!$H:$Q,3,FALSE)</f>
        <v>2677.37</v>
      </c>
      <c r="F46" s="145"/>
      <c r="G46" s="116">
        <f>VLOOKUP($B46,SETUP!$H:$Q,4,FALSE)</f>
        <v>2500</v>
      </c>
      <c r="H46" s="116">
        <f>VLOOKUP($B46,SETUP!$H:$Q,5,FALSE)</f>
        <v>0</v>
      </c>
      <c r="I46" s="116">
        <f>VLOOKUP($B46,SETUP!$H:$Q,6,FALSE)</f>
        <v>0</v>
      </c>
      <c r="J46" s="116">
        <f>VLOOKUP($B46,SETUP!$H:$Q,7,FALSE)</f>
        <v>0</v>
      </c>
      <c r="K46" s="116">
        <f>VLOOKUP($B46,SETUP!$H:$Q,8,FALSE)</f>
        <v>2500</v>
      </c>
      <c r="L46" s="145"/>
      <c r="M46" s="116">
        <f>VLOOKUP($B46,SETUP!$H:$Q,9,FALSE)</f>
        <v>2500</v>
      </c>
      <c r="N46" s="116">
        <f>VLOOKUP($B46,SETUP!$H:$Q,10,FALSE)</f>
        <v>0</v>
      </c>
    </row>
    <row r="47" spans="2:15" x14ac:dyDescent="0.35">
      <c r="B47" s="175" t="str">
        <f>SETUP!H22</f>
        <v>Bank Charges</v>
      </c>
      <c r="D47" s="204">
        <f>VLOOKUP($B47,SETUP!$H:$Q,2,FALSE)</f>
        <v>300</v>
      </c>
      <c r="E47" s="204">
        <f>VLOOKUP($B47,SETUP!$H:$Q,3,FALSE)</f>
        <v>465.20000000000005</v>
      </c>
      <c r="F47" s="145"/>
      <c r="G47" s="116">
        <f>VLOOKUP($B47,SETUP!$H:$Q,4,FALSE)</f>
        <v>300</v>
      </c>
      <c r="H47" s="116">
        <f>VLOOKUP($B47,SETUP!$H:$Q,5,FALSE)</f>
        <v>105.75</v>
      </c>
      <c r="I47" s="116">
        <f>VLOOKUP($B47,SETUP!$H:$Q,6,FALSE)</f>
        <v>0</v>
      </c>
      <c r="J47" s="116">
        <f>VLOOKUP($B47,SETUP!$H:$Q,7,FALSE)</f>
        <v>105.75</v>
      </c>
      <c r="K47" s="116">
        <f>VLOOKUP($B47,SETUP!$H:$Q,8,FALSE)</f>
        <v>194.25</v>
      </c>
      <c r="L47" s="145"/>
      <c r="M47" s="116">
        <f>VLOOKUP($B47,SETUP!$H:$Q,9,FALSE)</f>
        <v>300</v>
      </c>
      <c r="N47" s="116">
        <f>VLOOKUP($B47,SETUP!$H:$Q,10,FALSE)</f>
        <v>0</v>
      </c>
    </row>
    <row r="48" spans="2:15" x14ac:dyDescent="0.35">
      <c r="B48" s="175" t="str">
        <f>SETUP!H23</f>
        <v>Audit Fees</v>
      </c>
      <c r="D48" s="204">
        <f>VLOOKUP($B48,SETUP!$H:$Q,2,FALSE)</f>
        <v>1500</v>
      </c>
      <c r="E48" s="204">
        <f>VLOOKUP($B48,SETUP!$H:$Q,3,FALSE)</f>
        <v>717</v>
      </c>
      <c r="F48" s="145"/>
      <c r="G48" s="116">
        <f>VLOOKUP($B48,SETUP!$H:$Q,4,FALSE)</f>
        <v>1500</v>
      </c>
      <c r="H48" s="116">
        <f>VLOOKUP($B48,SETUP!$H:$Q,5,FALSE)</f>
        <v>0</v>
      </c>
      <c r="I48" s="116">
        <f>VLOOKUP($B48,SETUP!$H:$Q,6,FALSE)</f>
        <v>0</v>
      </c>
      <c r="J48" s="116">
        <f>VLOOKUP($B48,SETUP!$H:$Q,7,FALSE)</f>
        <v>0</v>
      </c>
      <c r="K48" s="116">
        <f>VLOOKUP($B48,SETUP!$H:$Q,8,FALSE)</f>
        <v>1500</v>
      </c>
      <c r="L48" s="145"/>
      <c r="M48" s="116">
        <f>VLOOKUP($B48,SETUP!$H:$Q,9,FALSE)</f>
        <v>1500</v>
      </c>
      <c r="N48" s="116">
        <f>VLOOKUP($B48,SETUP!$H:$Q,10,FALSE)</f>
        <v>0</v>
      </c>
    </row>
    <row r="49" spans="2:15" x14ac:dyDescent="0.35">
      <c r="B49" s="175" t="str">
        <f>SETUP!H24</f>
        <v>Chairman's Allowance</v>
      </c>
      <c r="D49" s="204">
        <f>VLOOKUP($B49,SETUP!$H:$Q,2,FALSE)</f>
        <v>300</v>
      </c>
      <c r="E49" s="204">
        <f>VLOOKUP($B49,SETUP!$H:$Q,3,FALSE)</f>
        <v>300</v>
      </c>
      <c r="F49" s="145"/>
      <c r="G49" s="116">
        <f>VLOOKUP($B49,SETUP!$H:$Q,4,FALSE)</f>
        <v>300</v>
      </c>
      <c r="H49" s="116">
        <f>VLOOKUP($B49,SETUP!$H:$Q,5,FALSE)</f>
        <v>0</v>
      </c>
      <c r="I49" s="116">
        <f>VLOOKUP($B49,SETUP!$H:$Q,6,FALSE)</f>
        <v>0</v>
      </c>
      <c r="J49" s="116">
        <f>VLOOKUP($B49,SETUP!$H:$Q,7,FALSE)</f>
        <v>0</v>
      </c>
      <c r="K49" s="116">
        <f>VLOOKUP($B49,SETUP!$H:$Q,8,FALSE)</f>
        <v>300</v>
      </c>
      <c r="L49" s="145"/>
      <c r="M49" s="116">
        <f>VLOOKUP($B49,SETUP!$H:$Q,9,FALSE)</f>
        <v>300</v>
      </c>
      <c r="N49" s="116">
        <f>VLOOKUP($B49,SETUP!$H:$Q,10,FALSE)</f>
        <v>0</v>
      </c>
    </row>
    <row r="50" spans="2:15" x14ac:dyDescent="0.35">
      <c r="B50" s="175" t="str">
        <f>SETUP!H25</f>
        <v>Elections</v>
      </c>
      <c r="D50" s="204">
        <f>VLOOKUP($B50,SETUP!$H:$Q,2,FALSE)</f>
        <v>0</v>
      </c>
      <c r="E50" s="204">
        <f>VLOOKUP($B50,SETUP!$H:$Q,3,FALSE)</f>
        <v>0</v>
      </c>
      <c r="F50" s="145"/>
      <c r="G50" s="116">
        <f>VLOOKUP($B50,SETUP!$H:$Q,4,FALSE)</f>
        <v>11600</v>
      </c>
      <c r="H50" s="116">
        <f>VLOOKUP($B50,SETUP!$H:$Q,5,FALSE)</f>
        <v>6881.65</v>
      </c>
      <c r="I50" s="116">
        <f>VLOOKUP($B50,SETUP!$H:$Q,6,FALSE)</f>
        <v>0</v>
      </c>
      <c r="J50" s="116">
        <f>VLOOKUP($B50,SETUP!$H:$Q,7,FALSE)</f>
        <v>6881.65</v>
      </c>
      <c r="K50" s="116">
        <f>VLOOKUP($B50,SETUP!$H:$Q,8,FALSE)</f>
        <v>4718.3500000000004</v>
      </c>
      <c r="L50" s="145"/>
      <c r="M50" s="116">
        <f>VLOOKUP($B50,SETUP!$H:$Q,9,FALSE)</f>
        <v>11600</v>
      </c>
      <c r="N50" s="116">
        <f>VLOOKUP($B50,SETUP!$H:$Q,10,FALSE)</f>
        <v>0</v>
      </c>
    </row>
    <row r="51" spans="2:15" x14ac:dyDescent="0.35">
      <c r="B51" s="175" t="str">
        <f>SETUP!H26</f>
        <v>Spare Code</v>
      </c>
      <c r="D51" s="204">
        <f>VLOOKUP($B51,SETUP!$H:$Q,2,FALSE)</f>
        <v>0</v>
      </c>
      <c r="E51" s="204">
        <f>VLOOKUP($B51,SETUP!$H:$Q,3,FALSE)</f>
        <v>0</v>
      </c>
      <c r="F51" s="145"/>
      <c r="G51" s="116">
        <f>VLOOKUP($B51,SETUP!$H:$Q,4,FALSE)</f>
        <v>0</v>
      </c>
      <c r="H51" s="116">
        <f>VLOOKUP($B51,SETUP!$H:$Q,5,FALSE)</f>
        <v>0</v>
      </c>
      <c r="I51" s="116">
        <f>VLOOKUP($B51,SETUP!$H:$Q,6,FALSE)</f>
        <v>0</v>
      </c>
      <c r="J51" s="116">
        <f>VLOOKUP($B51,SETUP!$H:$Q,7,FALSE)</f>
        <v>0</v>
      </c>
      <c r="K51" s="116">
        <f>VLOOKUP($B51,SETUP!$H:$Q,8,FALSE)</f>
        <v>0</v>
      </c>
      <c r="L51" s="145"/>
      <c r="M51" s="116">
        <v>0</v>
      </c>
      <c r="N51" s="116">
        <f>VLOOKUP($B51,SETUP!$H:$Q,10,FALSE)</f>
        <v>0</v>
      </c>
    </row>
    <row r="52" spans="2:15" x14ac:dyDescent="0.35">
      <c r="B52" s="175" t="str">
        <f>SETUP!H27</f>
        <v>Spare Code</v>
      </c>
      <c r="D52" s="204">
        <f>VLOOKUP($B52,SETUP!$H:$Q,2,FALSE)</f>
        <v>0</v>
      </c>
      <c r="E52" s="204">
        <f>VLOOKUP($B52,SETUP!$H:$Q,3,FALSE)</f>
        <v>0</v>
      </c>
      <c r="F52" s="145"/>
      <c r="G52" s="116">
        <f>VLOOKUP($B52,SETUP!$H:$Q,4,FALSE)</f>
        <v>0</v>
      </c>
      <c r="H52" s="116">
        <f>VLOOKUP($B52,SETUP!$H:$Q,5,FALSE)</f>
        <v>0</v>
      </c>
      <c r="I52" s="116">
        <f>VLOOKUP($B52,SETUP!$H:$Q,6,FALSE)</f>
        <v>0</v>
      </c>
      <c r="J52" s="116">
        <f>VLOOKUP($B52,SETUP!$H:$Q,7,FALSE)</f>
        <v>0</v>
      </c>
      <c r="K52" s="116">
        <f>VLOOKUP($B52,SETUP!$H:$Q,8,FALSE)</f>
        <v>0</v>
      </c>
      <c r="L52" s="145"/>
      <c r="M52" s="116">
        <v>0</v>
      </c>
      <c r="N52" s="116">
        <f>VLOOKUP($B52,SETUP!$H:$Q,10,FALSE)</f>
        <v>0</v>
      </c>
    </row>
    <row r="53" spans="2:15" x14ac:dyDescent="0.35">
      <c r="B53" s="250" t="str">
        <f>"Total "&amp;B45</f>
        <v>Total Governance</v>
      </c>
      <c r="D53" s="215">
        <f>SUM(D46:D52)</f>
        <v>4600</v>
      </c>
      <c r="E53" s="165">
        <f t="shared" ref="E53:N53" si="2">SUM(E46:E52)</f>
        <v>4159.57</v>
      </c>
      <c r="F53" s="145"/>
      <c r="G53" s="215">
        <f t="shared" si="2"/>
        <v>16200</v>
      </c>
      <c r="H53" s="215">
        <f t="shared" si="2"/>
        <v>6987.4</v>
      </c>
      <c r="I53" s="215">
        <f t="shared" si="2"/>
        <v>0</v>
      </c>
      <c r="J53" s="215">
        <f t="shared" si="2"/>
        <v>6987.4</v>
      </c>
      <c r="K53" s="165">
        <f t="shared" si="2"/>
        <v>9212.6</v>
      </c>
      <c r="L53" s="145"/>
      <c r="M53" s="215">
        <f t="shared" si="2"/>
        <v>16200</v>
      </c>
      <c r="N53" s="165">
        <f t="shared" si="2"/>
        <v>0</v>
      </c>
    </row>
    <row r="54" spans="2:15" x14ac:dyDescent="0.35">
      <c r="O54" s="137"/>
    </row>
    <row r="55" spans="2:15" x14ac:dyDescent="0.35">
      <c r="B55" s="221" t="str">
        <f>SETUP!H28</f>
        <v>Maintenance</v>
      </c>
      <c r="D55" s="214"/>
      <c r="E55" s="114"/>
      <c r="F55" s="145"/>
      <c r="G55" s="214"/>
      <c r="H55" s="160"/>
      <c r="I55" s="160"/>
      <c r="J55" s="160"/>
      <c r="K55" s="114"/>
      <c r="L55" s="145"/>
      <c r="M55" s="214"/>
      <c r="N55" s="114"/>
    </row>
    <row r="56" spans="2:15" x14ac:dyDescent="0.35">
      <c r="B56" s="175" t="str">
        <f>SETUP!H29</f>
        <v>Parks Maintenance &amp; Cemetery Grounds</v>
      </c>
      <c r="D56" s="204">
        <f>VLOOKUP($B56,SETUP!$H:$Q,2,FALSE)</f>
        <v>30000</v>
      </c>
      <c r="E56" s="204">
        <f>VLOOKUP($B56,SETUP!$H:$Q,3,FALSE)</f>
        <v>29845.030000000002</v>
      </c>
      <c r="F56" s="145"/>
      <c r="G56" s="116">
        <f>VLOOKUP($B56,SETUP!$H:$Q,4,FALSE)</f>
        <v>37000</v>
      </c>
      <c r="H56" s="116">
        <f>VLOOKUP($B56,SETUP!$H:$Q,5,FALSE)</f>
        <v>12439.35</v>
      </c>
      <c r="I56" s="116">
        <f>VLOOKUP($B56,SETUP!$H:$Q,6,FALSE)</f>
        <v>0</v>
      </c>
      <c r="J56" s="116">
        <f>VLOOKUP($B56,SETUP!$H:$Q,7,FALSE)</f>
        <v>12439.35</v>
      </c>
      <c r="K56" s="116">
        <f>VLOOKUP($B56,SETUP!$H:$Q,8,FALSE)</f>
        <v>24560.65</v>
      </c>
      <c r="L56" s="145"/>
      <c r="M56" s="116">
        <f>VLOOKUP($B56,SETUP!$H:$Q,9,FALSE)</f>
        <v>37000</v>
      </c>
      <c r="N56" s="116">
        <f>VLOOKUP($B56,SETUP!$H:$Q,10,FALSE)</f>
        <v>0</v>
      </c>
    </row>
    <row r="57" spans="2:15" x14ac:dyDescent="0.35">
      <c r="B57" s="175" t="str">
        <f>SETUP!H30</f>
        <v>Play Equipment</v>
      </c>
      <c r="D57" s="204">
        <f>VLOOKUP($B57,SETUP!$H:$Q,2,FALSE)</f>
        <v>2000</v>
      </c>
      <c r="E57" s="204">
        <f>VLOOKUP($B57,SETUP!$H:$Q,3,FALSE)</f>
        <v>0</v>
      </c>
      <c r="F57" s="145"/>
      <c r="G57" s="116">
        <f>VLOOKUP($B57,SETUP!$H:$Q,4,FALSE)</f>
        <v>2000</v>
      </c>
      <c r="H57" s="116">
        <f>VLOOKUP($B57,SETUP!$H:$Q,5,FALSE)</f>
        <v>0</v>
      </c>
      <c r="I57" s="116">
        <f>VLOOKUP($B57,SETUP!$H:$Q,6,FALSE)</f>
        <v>0</v>
      </c>
      <c r="J57" s="116">
        <f>VLOOKUP($B57,SETUP!$H:$Q,7,FALSE)</f>
        <v>0</v>
      </c>
      <c r="K57" s="116">
        <f>VLOOKUP($B57,SETUP!$H:$Q,8,FALSE)</f>
        <v>2000</v>
      </c>
      <c r="L57" s="145"/>
      <c r="M57" s="116">
        <f>VLOOKUP($B57,SETUP!$H:$Q,9,FALSE)</f>
        <v>2000</v>
      </c>
      <c r="N57" s="116">
        <f>VLOOKUP($B57,SETUP!$H:$Q,10,FALSE)</f>
        <v>0</v>
      </c>
    </row>
    <row r="58" spans="2:15" x14ac:dyDescent="0.35">
      <c r="B58" s="175" t="str">
        <f>SETUP!H31</f>
        <v>Play Area Inspections</v>
      </c>
      <c r="D58" s="204">
        <f>VLOOKUP($B58,SETUP!$H:$Q,2,FALSE)</f>
        <v>1000</v>
      </c>
      <c r="E58" s="204">
        <f>VLOOKUP($B58,SETUP!$H:$Q,3,FALSE)</f>
        <v>1065</v>
      </c>
      <c r="F58" s="145"/>
      <c r="G58" s="116">
        <f>VLOOKUP($B58,SETUP!$H:$Q,4,FALSE)</f>
        <v>1100</v>
      </c>
      <c r="H58" s="116">
        <f>VLOOKUP($B58,SETUP!$H:$Q,5,FALSE)</f>
        <v>203.5</v>
      </c>
      <c r="I58" s="116">
        <f>VLOOKUP($B58,SETUP!$H:$Q,6,FALSE)</f>
        <v>0</v>
      </c>
      <c r="J58" s="116">
        <f>VLOOKUP($B58,SETUP!$H:$Q,7,FALSE)</f>
        <v>203.5</v>
      </c>
      <c r="K58" s="116">
        <f>VLOOKUP($B58,SETUP!$H:$Q,8,FALSE)</f>
        <v>896.5</v>
      </c>
      <c r="L58" s="145"/>
      <c r="M58" s="116">
        <f>VLOOKUP($B58,SETUP!$H:$Q,9,FALSE)</f>
        <v>1100</v>
      </c>
      <c r="N58" s="116">
        <f>VLOOKUP($B58,SETUP!$H:$Q,10,FALSE)</f>
        <v>0</v>
      </c>
    </row>
    <row r="59" spans="2:15" x14ac:dyDescent="0.35">
      <c r="B59" s="175" t="str">
        <f>SETUP!H32</f>
        <v>Waste Disposal</v>
      </c>
      <c r="D59" s="204">
        <f>VLOOKUP($B59,SETUP!$H:$Q,2,FALSE)</f>
        <v>2500</v>
      </c>
      <c r="E59" s="204">
        <f>VLOOKUP($B59,SETUP!$H:$Q,3,FALSE)</f>
        <v>1740.1899999999998</v>
      </c>
      <c r="F59" s="145"/>
      <c r="G59" s="116">
        <f>VLOOKUP($B59,SETUP!$H:$Q,4,FALSE)</f>
        <v>2000</v>
      </c>
      <c r="H59" s="116">
        <f>VLOOKUP($B59,SETUP!$H:$Q,5,FALSE)</f>
        <v>146.46</v>
      </c>
      <c r="I59" s="116">
        <f>VLOOKUP($B59,SETUP!$H:$Q,6,FALSE)</f>
        <v>0</v>
      </c>
      <c r="J59" s="116">
        <f>VLOOKUP($B59,SETUP!$H:$Q,7,FALSE)</f>
        <v>146.46</v>
      </c>
      <c r="K59" s="116">
        <f>VLOOKUP($B59,SETUP!$H:$Q,8,FALSE)</f>
        <v>1853.54</v>
      </c>
      <c r="L59" s="145"/>
      <c r="M59" s="116">
        <f>VLOOKUP($B59,SETUP!$H:$Q,9,FALSE)</f>
        <v>2000</v>
      </c>
      <c r="N59" s="116">
        <f>VLOOKUP($B59,SETUP!$H:$Q,10,FALSE)</f>
        <v>0</v>
      </c>
    </row>
    <row r="60" spans="2:15" x14ac:dyDescent="0.35">
      <c r="B60" s="175" t="str">
        <f>SETUP!H33</f>
        <v>Utilities</v>
      </c>
      <c r="D60" s="204">
        <f>VLOOKUP($B60,SETUP!$H:$Q,2,FALSE)</f>
        <v>4500</v>
      </c>
      <c r="E60" s="204">
        <f>VLOOKUP($B60,SETUP!$H:$Q,3,FALSE)</f>
        <v>2904.8599999999997</v>
      </c>
      <c r="F60" s="145"/>
      <c r="G60" s="116">
        <f>VLOOKUP($B60,SETUP!$H:$Q,4,FALSE)</f>
        <v>3000</v>
      </c>
      <c r="H60" s="116">
        <f>VLOOKUP($B60,SETUP!$H:$Q,5,FALSE)</f>
        <v>535</v>
      </c>
      <c r="I60" s="116">
        <f>VLOOKUP($B60,SETUP!$H:$Q,6,FALSE)</f>
        <v>0</v>
      </c>
      <c r="J60" s="116">
        <f>VLOOKUP($B60,SETUP!$H:$Q,7,FALSE)</f>
        <v>535</v>
      </c>
      <c r="K60" s="116">
        <f>VLOOKUP($B60,SETUP!$H:$Q,8,FALSE)</f>
        <v>2465</v>
      </c>
      <c r="L60" s="145"/>
      <c r="M60" s="116">
        <f>VLOOKUP($B60,SETUP!$H:$Q,9,FALSE)</f>
        <v>3000</v>
      </c>
      <c r="N60" s="116">
        <f>VLOOKUP($B60,SETUP!$H:$Q,10,FALSE)</f>
        <v>0</v>
      </c>
    </row>
    <row r="61" spans="2:15" x14ac:dyDescent="0.35">
      <c r="B61" s="175" t="str">
        <f>SETUP!H34</f>
        <v>Spare Code</v>
      </c>
      <c r="D61" s="204">
        <f>VLOOKUP($B61,SETUP!$H:$Q,2,FALSE)</f>
        <v>0</v>
      </c>
      <c r="E61" s="204">
        <f>VLOOKUP($B61,SETUP!$H:$Q,3,FALSE)</f>
        <v>0</v>
      </c>
      <c r="F61" s="145"/>
      <c r="G61" s="116">
        <f>VLOOKUP($B61,SETUP!$H:$Q,4,FALSE)</f>
        <v>0</v>
      </c>
      <c r="H61" s="116">
        <f>VLOOKUP($B61,SETUP!$H:$Q,5,FALSE)</f>
        <v>0</v>
      </c>
      <c r="I61" s="116">
        <f>VLOOKUP($B61,SETUP!$H:$Q,6,FALSE)</f>
        <v>0</v>
      </c>
      <c r="J61" s="116">
        <f>VLOOKUP($B61,SETUP!$H:$Q,7,FALSE)</f>
        <v>0</v>
      </c>
      <c r="K61" s="116">
        <f>VLOOKUP($B61,SETUP!$H:$Q,8,FALSE)</f>
        <v>0</v>
      </c>
      <c r="L61" s="145"/>
      <c r="M61" s="116">
        <v>0</v>
      </c>
      <c r="N61" s="116">
        <f>VLOOKUP($B61,SETUP!$H:$Q,10,FALSE)</f>
        <v>0</v>
      </c>
    </row>
    <row r="62" spans="2:15" x14ac:dyDescent="0.35">
      <c r="B62" s="175" t="str">
        <f>SETUP!H35</f>
        <v>Spare Code</v>
      </c>
      <c r="D62" s="204">
        <f>VLOOKUP($B62,SETUP!$H:$Q,2,FALSE)</f>
        <v>0</v>
      </c>
      <c r="E62" s="204">
        <f>VLOOKUP($B62,SETUP!$H:$Q,3,FALSE)</f>
        <v>0</v>
      </c>
      <c r="F62" s="145"/>
      <c r="G62" s="116">
        <f>VLOOKUP($B62,SETUP!$H:$Q,4,FALSE)</f>
        <v>0</v>
      </c>
      <c r="H62" s="116">
        <f>VLOOKUP($B62,SETUP!$H:$Q,5,FALSE)</f>
        <v>0</v>
      </c>
      <c r="I62" s="116">
        <f>VLOOKUP($B62,SETUP!$H:$Q,6,FALSE)</f>
        <v>0</v>
      </c>
      <c r="J62" s="116">
        <f>VLOOKUP($B62,SETUP!$H:$Q,7,FALSE)</f>
        <v>0</v>
      </c>
      <c r="K62" s="116">
        <f>VLOOKUP($B62,SETUP!$H:$Q,8,FALSE)</f>
        <v>0</v>
      </c>
      <c r="L62" s="145"/>
      <c r="M62" s="116">
        <v>0</v>
      </c>
      <c r="N62" s="116">
        <f>VLOOKUP($B62,SETUP!$H:$Q,10,FALSE)</f>
        <v>0</v>
      </c>
    </row>
    <row r="63" spans="2:15" x14ac:dyDescent="0.35">
      <c r="B63" s="250" t="str">
        <f>"Total "&amp;B55</f>
        <v>Total Maintenance</v>
      </c>
      <c r="D63" s="215">
        <f>SUM(D56:D62)</f>
        <v>40000</v>
      </c>
      <c r="E63" s="165">
        <f t="shared" ref="E63" si="3">SUM(E56:E62)</f>
        <v>35555.08</v>
      </c>
      <c r="F63" s="145"/>
      <c r="G63" s="215">
        <f t="shared" ref="G63" si="4">SUM(G56:G62)</f>
        <v>45100</v>
      </c>
      <c r="H63" s="215">
        <f t="shared" ref="H63" si="5">SUM(H56:H62)</f>
        <v>13324.31</v>
      </c>
      <c r="I63" s="215">
        <f t="shared" ref="I63" si="6">SUM(I56:I62)</f>
        <v>0</v>
      </c>
      <c r="J63" s="215">
        <f t="shared" ref="J63" si="7">SUM(J56:J62)</f>
        <v>13324.31</v>
      </c>
      <c r="K63" s="165">
        <f t="shared" ref="K63" si="8">SUM(K56:K62)</f>
        <v>31775.690000000002</v>
      </c>
      <c r="L63" s="145"/>
      <c r="M63" s="215">
        <f t="shared" ref="M63" si="9">SUM(M56:M62)</f>
        <v>45100</v>
      </c>
      <c r="N63" s="165">
        <f t="shared" ref="N63" si="10">SUM(N56:N62)</f>
        <v>0</v>
      </c>
    </row>
    <row r="64" spans="2:15" x14ac:dyDescent="0.35">
      <c r="O64" s="137"/>
    </row>
    <row r="65" spans="2:14" x14ac:dyDescent="0.35">
      <c r="B65" s="221" t="str">
        <f>SETUP!H36</f>
        <v>Cemetery</v>
      </c>
      <c r="D65" s="214"/>
      <c r="E65" s="114"/>
      <c r="F65" s="145"/>
      <c r="G65" s="214"/>
      <c r="H65" s="160"/>
      <c r="I65" s="160"/>
      <c r="J65" s="160"/>
      <c r="K65" s="114"/>
      <c r="L65" s="145"/>
      <c r="M65" s="214"/>
      <c r="N65" s="114"/>
    </row>
    <row r="66" spans="2:14" x14ac:dyDescent="0.35">
      <c r="B66" s="175" t="str">
        <f>SETUP!H37</f>
        <v>Additional Maintenance</v>
      </c>
      <c r="D66" s="204">
        <f>VLOOKUP($B66,SETUP!$H:$Q,2,FALSE)</f>
        <v>5000</v>
      </c>
      <c r="E66" s="204">
        <f>VLOOKUP($B66,SETUP!$H:$Q,3,FALSE)</f>
        <v>1529.75</v>
      </c>
      <c r="F66" s="145"/>
      <c r="G66" s="116">
        <f>VLOOKUP($B66,SETUP!$H:$Q,4,FALSE)</f>
        <v>3000</v>
      </c>
      <c r="H66" s="116">
        <f>VLOOKUP($B66,SETUP!$H:$Q,5,FALSE)</f>
        <v>1077.83</v>
      </c>
      <c r="I66" s="116">
        <f>VLOOKUP($B66,SETUP!$H:$Q,6,FALSE)</f>
        <v>0</v>
      </c>
      <c r="J66" s="116">
        <f>VLOOKUP($B66,SETUP!$H:$Q,7,FALSE)</f>
        <v>1077.83</v>
      </c>
      <c r="K66" s="116">
        <f>VLOOKUP($B66,SETUP!$H:$Q,8,FALSE)</f>
        <v>1922.17</v>
      </c>
      <c r="L66" s="145"/>
      <c r="M66" s="116">
        <f>VLOOKUP($B66,SETUP!$H:$Q,9,FALSE)</f>
        <v>3000</v>
      </c>
      <c r="N66" s="116">
        <f>VLOOKUP($B66,SETUP!$H:$Q,10,FALSE)</f>
        <v>0</v>
      </c>
    </row>
    <row r="67" spans="2:14" x14ac:dyDescent="0.35">
      <c r="B67" s="175" t="str">
        <f>SETUP!H38</f>
        <v>Spare Code</v>
      </c>
      <c r="D67" s="204">
        <f>VLOOKUP($B67,SETUP!$H:$Q,2,FALSE)</f>
        <v>0</v>
      </c>
      <c r="E67" s="204">
        <f>VLOOKUP($B67,SETUP!$H:$Q,3,FALSE)</f>
        <v>0</v>
      </c>
      <c r="F67" s="145"/>
      <c r="G67" s="116">
        <f>VLOOKUP($B67,SETUP!$H:$Q,4,FALSE)</f>
        <v>0</v>
      </c>
      <c r="H67" s="116">
        <f>VLOOKUP($B67,SETUP!$H:$Q,5,FALSE)</f>
        <v>0</v>
      </c>
      <c r="I67" s="116">
        <f>VLOOKUP($B67,SETUP!$H:$Q,6,FALSE)</f>
        <v>0</v>
      </c>
      <c r="J67" s="116">
        <f>VLOOKUP($B67,SETUP!$H:$Q,7,FALSE)</f>
        <v>0</v>
      </c>
      <c r="K67" s="116">
        <f>VLOOKUP($B67,SETUP!$H:$Q,8,FALSE)</f>
        <v>0</v>
      </c>
      <c r="L67" s="145"/>
      <c r="M67" s="116">
        <v>0</v>
      </c>
      <c r="N67" s="116">
        <f>VLOOKUP($B67,SETUP!$H:$Q,10,FALSE)</f>
        <v>0</v>
      </c>
    </row>
    <row r="68" spans="2:14" x14ac:dyDescent="0.35">
      <c r="B68" s="175" t="str">
        <f>SETUP!H39</f>
        <v>Spare Code</v>
      </c>
      <c r="D68" s="204">
        <f>VLOOKUP($B68,SETUP!$H:$Q,2,FALSE)</f>
        <v>0</v>
      </c>
      <c r="E68" s="204">
        <f>VLOOKUP($B68,SETUP!$H:$Q,3,FALSE)</f>
        <v>0</v>
      </c>
      <c r="F68" s="145"/>
      <c r="G68" s="116">
        <f>VLOOKUP($B68,SETUP!$H:$Q,4,FALSE)</f>
        <v>0</v>
      </c>
      <c r="H68" s="116">
        <f>VLOOKUP($B68,SETUP!$H:$Q,5,FALSE)</f>
        <v>0</v>
      </c>
      <c r="I68" s="116">
        <f>VLOOKUP($B68,SETUP!$H:$Q,6,FALSE)</f>
        <v>0</v>
      </c>
      <c r="J68" s="116">
        <f>VLOOKUP($B68,SETUP!$H:$Q,7,FALSE)</f>
        <v>0</v>
      </c>
      <c r="K68" s="116">
        <f>VLOOKUP($B68,SETUP!$H:$Q,8,FALSE)</f>
        <v>0</v>
      </c>
      <c r="L68" s="145"/>
      <c r="M68" s="116">
        <v>0</v>
      </c>
      <c r="N68" s="116">
        <f>VLOOKUP($B68,SETUP!$H:$Q,10,FALSE)</f>
        <v>0</v>
      </c>
    </row>
    <row r="69" spans="2:14" x14ac:dyDescent="0.35">
      <c r="B69" s="250" t="str">
        <f>"Total "&amp;B65</f>
        <v>Total Cemetery</v>
      </c>
      <c r="D69" s="215">
        <f>SUM(D66:D68)</f>
        <v>5000</v>
      </c>
      <c r="E69" s="165">
        <f t="shared" ref="E69:N69" si="11">SUM(E66:E68)</f>
        <v>1529.75</v>
      </c>
      <c r="F69" s="145"/>
      <c r="G69" s="215">
        <f t="shared" si="11"/>
        <v>3000</v>
      </c>
      <c r="H69" s="215">
        <f t="shared" si="11"/>
        <v>1077.83</v>
      </c>
      <c r="I69" s="215">
        <f t="shared" si="11"/>
        <v>0</v>
      </c>
      <c r="J69" s="215">
        <f t="shared" si="11"/>
        <v>1077.83</v>
      </c>
      <c r="K69" s="165">
        <f t="shared" si="11"/>
        <v>1922.17</v>
      </c>
      <c r="L69" s="145"/>
      <c r="M69" s="215">
        <f t="shared" si="11"/>
        <v>3000</v>
      </c>
      <c r="N69" s="165">
        <f t="shared" si="11"/>
        <v>0</v>
      </c>
    </row>
    <row r="70" spans="2:14" x14ac:dyDescent="0.35">
      <c r="B70" s="29"/>
      <c r="D70" s="146"/>
      <c r="E70" s="146"/>
      <c r="F70" s="145"/>
      <c r="G70" s="146"/>
      <c r="H70" s="146"/>
      <c r="I70" s="146"/>
      <c r="J70" s="146"/>
      <c r="K70" s="146"/>
      <c r="L70" s="145"/>
      <c r="M70" s="146"/>
      <c r="N70" s="146"/>
    </row>
    <row r="71" spans="2:14" x14ac:dyDescent="0.35">
      <c r="B71" s="221" t="str">
        <f>SETUP!H40</f>
        <v>War Memorial</v>
      </c>
      <c r="D71" s="214"/>
      <c r="E71" s="114"/>
      <c r="F71" s="145"/>
      <c r="G71" s="214"/>
      <c r="H71" s="160"/>
      <c r="I71" s="160"/>
      <c r="J71" s="160"/>
      <c r="K71" s="114"/>
      <c r="L71" s="145"/>
      <c r="M71" s="214"/>
      <c r="N71" s="114"/>
    </row>
    <row r="72" spans="2:14" x14ac:dyDescent="0.35">
      <c r="B72" s="175" t="str">
        <f>SETUP!H41</f>
        <v>Renovation of Jubilee Corner</v>
      </c>
      <c r="D72" s="204">
        <f>VLOOKUP($B72,SETUP!$H:$Q,2,FALSE)</f>
        <v>25000</v>
      </c>
      <c r="E72" s="204">
        <f>VLOOKUP($B72,SETUP!$H:$Q,3,FALSE)</f>
        <v>16929.03</v>
      </c>
      <c r="F72" s="145"/>
      <c r="G72" s="116">
        <f>VLOOKUP($B72,SETUP!$H:$Q,4,FALSE)</f>
        <v>0</v>
      </c>
      <c r="H72" s="116">
        <f>VLOOKUP($B72,SETUP!$H:$Q,5,FALSE)</f>
        <v>0</v>
      </c>
      <c r="I72" s="116">
        <f>VLOOKUP($B72,SETUP!$H:$Q,6,FALSE)</f>
        <v>0</v>
      </c>
      <c r="J72" s="116">
        <f>VLOOKUP($B72,SETUP!$H:$Q,7,FALSE)</f>
        <v>0</v>
      </c>
      <c r="K72" s="116">
        <f>VLOOKUP($B72,SETUP!$H:$Q,8,FALSE)</f>
        <v>0</v>
      </c>
      <c r="L72" s="145"/>
      <c r="M72" s="116">
        <f>VLOOKUP($B72,SETUP!$H:$Q,9,FALSE)</f>
        <v>0</v>
      </c>
      <c r="N72" s="116">
        <f>VLOOKUP($B72,SETUP!$H:$Q,10,FALSE)</f>
        <v>0</v>
      </c>
    </row>
    <row r="73" spans="2:14" x14ac:dyDescent="0.35">
      <c r="B73" s="175" t="str">
        <f>SETUP!H42</f>
        <v>Spare Code</v>
      </c>
      <c r="D73" s="204">
        <f>VLOOKUP($B73,SETUP!$H:$Q,2,FALSE)</f>
        <v>0</v>
      </c>
      <c r="E73" s="204">
        <f>VLOOKUP($B73,SETUP!$H:$Q,3,FALSE)</f>
        <v>0</v>
      </c>
      <c r="F73" s="145"/>
      <c r="G73" s="116">
        <f>VLOOKUP($B73,SETUP!$H:$Q,4,FALSE)</f>
        <v>0</v>
      </c>
      <c r="H73" s="116">
        <f>VLOOKUP($B73,SETUP!$H:$Q,5,FALSE)</f>
        <v>0</v>
      </c>
      <c r="I73" s="116">
        <f>VLOOKUP($B73,SETUP!$H:$Q,6,FALSE)</f>
        <v>0</v>
      </c>
      <c r="J73" s="116">
        <f>VLOOKUP($B73,SETUP!$H:$Q,7,FALSE)</f>
        <v>0</v>
      </c>
      <c r="K73" s="116">
        <f>VLOOKUP($B73,SETUP!$H:$Q,8,FALSE)</f>
        <v>0</v>
      </c>
      <c r="L73" s="145"/>
      <c r="M73" s="116">
        <v>0</v>
      </c>
      <c r="N73" s="116">
        <f>VLOOKUP($B73,SETUP!$H:$Q,10,FALSE)</f>
        <v>0</v>
      </c>
    </row>
    <row r="74" spans="2:14" x14ac:dyDescent="0.35">
      <c r="B74" s="250" t="str">
        <f>"Total "&amp;B71</f>
        <v>Total War Memorial</v>
      </c>
      <c r="D74" s="165"/>
      <c r="E74" s="165"/>
      <c r="F74" s="116"/>
      <c r="G74" s="165"/>
      <c r="H74" s="165"/>
      <c r="I74" s="165"/>
      <c r="J74" s="165"/>
      <c r="K74" s="165"/>
      <c r="L74" s="116"/>
      <c r="M74" s="215">
        <f t="shared" ref="M74" si="12">SUM(M71:M73)</f>
        <v>0</v>
      </c>
      <c r="N74" s="165"/>
    </row>
    <row r="75" spans="2:14" x14ac:dyDescent="0.35">
      <c r="B75" s="29"/>
      <c r="D75" s="146"/>
      <c r="E75" s="146"/>
      <c r="F75" s="145"/>
      <c r="G75" s="146"/>
      <c r="H75" s="146"/>
      <c r="I75" s="146"/>
      <c r="J75" s="146"/>
      <c r="K75" s="146"/>
      <c r="L75" s="145"/>
      <c r="M75" s="146"/>
      <c r="N75" s="146"/>
    </row>
    <row r="76" spans="2:14" x14ac:dyDescent="0.35">
      <c r="B76" s="221" t="str">
        <f>SETUP!H43</f>
        <v>Reserves</v>
      </c>
      <c r="D76" s="214"/>
      <c r="E76" s="114"/>
      <c r="F76" s="145"/>
      <c r="G76" s="214"/>
      <c r="H76" s="160"/>
      <c r="I76" s="160"/>
      <c r="J76" s="160"/>
      <c r="K76" s="114"/>
      <c r="L76" s="145"/>
      <c r="M76" s="214"/>
      <c r="N76" s="114"/>
    </row>
    <row r="77" spans="2:14" x14ac:dyDescent="0.35">
      <c r="B77" s="175" t="str">
        <f>SETUP!H44</f>
        <v>Building Maintenance</v>
      </c>
      <c r="D77" s="204">
        <f>VLOOKUP($B77,SETUP!$H:$Q,2,FALSE)</f>
        <v>1000</v>
      </c>
      <c r="E77" s="204">
        <f>VLOOKUP($B77,SETUP!$H:$Q,3,FALSE)</f>
        <v>0</v>
      </c>
      <c r="F77" s="145"/>
      <c r="G77" s="116">
        <f>VLOOKUP($B77,SETUP!$H:$Q,4,FALSE)</f>
        <v>1500</v>
      </c>
      <c r="H77" s="116">
        <f>VLOOKUP($B77,SETUP!$H:$Q,5,FALSE)</f>
        <v>0</v>
      </c>
      <c r="I77" s="116">
        <f>VLOOKUP($B77,SETUP!$H:$Q,6,FALSE)</f>
        <v>0</v>
      </c>
      <c r="J77" s="116">
        <f>VLOOKUP($B77,SETUP!$H:$Q,7,FALSE)</f>
        <v>0</v>
      </c>
      <c r="K77" s="116">
        <f>VLOOKUP($B77,SETUP!$H:$Q,8,FALSE)</f>
        <v>1500</v>
      </c>
      <c r="L77" s="145"/>
      <c r="M77" s="116">
        <f>VLOOKUP($B77,SETUP!$H:$Q,9,FALSE)</f>
        <v>500</v>
      </c>
      <c r="N77" s="116">
        <f>VLOOKUP($B77,SETUP!$H:$Q,10,FALSE)</f>
        <v>-1000</v>
      </c>
    </row>
    <row r="78" spans="2:14" x14ac:dyDescent="0.35">
      <c r="B78" s="175" t="str">
        <f>SETUP!H45</f>
        <v>Business Contingency</v>
      </c>
      <c r="D78" s="204">
        <f>VLOOKUP($B78,SETUP!$H:$Q,2,FALSE)</f>
        <v>8000</v>
      </c>
      <c r="E78" s="204">
        <f>VLOOKUP($B78,SETUP!$H:$Q,3,FALSE)</f>
        <v>4250</v>
      </c>
      <c r="F78" s="145"/>
      <c r="G78" s="116">
        <f>VLOOKUP($B78,SETUP!$H:$Q,4,FALSE)</f>
        <v>10000</v>
      </c>
      <c r="H78" s="116">
        <f>VLOOKUP($B78,SETUP!$H:$Q,5,FALSE)</f>
        <v>0</v>
      </c>
      <c r="I78" s="116">
        <f>VLOOKUP($B78,SETUP!$H:$Q,6,FALSE)</f>
        <v>0</v>
      </c>
      <c r="J78" s="116">
        <f>VLOOKUP($B78,SETUP!$H:$Q,7,FALSE)</f>
        <v>0</v>
      </c>
      <c r="K78" s="116">
        <f>VLOOKUP($B78,SETUP!$H:$Q,8,FALSE)</f>
        <v>10000</v>
      </c>
      <c r="L78" s="145"/>
      <c r="M78" s="116">
        <f>VLOOKUP($B78,SETUP!$H:$Q,9,FALSE)</f>
        <v>6250</v>
      </c>
      <c r="N78" s="116">
        <f>VLOOKUP($B78,SETUP!$H:$Q,10,FALSE)</f>
        <v>-3750</v>
      </c>
    </row>
    <row r="79" spans="2:14" x14ac:dyDescent="0.35">
      <c r="B79" s="175" t="str">
        <f>SETUP!H46</f>
        <v>Emergency</v>
      </c>
      <c r="D79" s="204">
        <f>VLOOKUP($B79,SETUP!$H:$Q,2,FALSE)</f>
        <v>5000</v>
      </c>
      <c r="E79" s="204">
        <f>VLOOKUP($B79,SETUP!$H:$Q,3,FALSE)</f>
        <v>0</v>
      </c>
      <c r="F79" s="145"/>
      <c r="G79" s="116">
        <f>VLOOKUP($B79,SETUP!$H:$Q,4,FALSE)</f>
        <v>6500</v>
      </c>
      <c r="H79" s="116">
        <f>VLOOKUP($B79,SETUP!$H:$Q,5,FALSE)</f>
        <v>0</v>
      </c>
      <c r="I79" s="116">
        <f>VLOOKUP($B79,SETUP!$H:$Q,6,FALSE)</f>
        <v>0</v>
      </c>
      <c r="J79" s="116">
        <f>VLOOKUP($B79,SETUP!$H:$Q,7,FALSE)</f>
        <v>0</v>
      </c>
      <c r="K79" s="116">
        <f>VLOOKUP($B79,SETUP!$H:$Q,8,FALSE)</f>
        <v>6500</v>
      </c>
      <c r="L79" s="145"/>
      <c r="M79" s="116">
        <f>VLOOKUP($B79,SETUP!$H:$Q,9,FALSE)</f>
        <v>1500</v>
      </c>
      <c r="N79" s="116">
        <f>VLOOKUP($B79,SETUP!$H:$Q,10,FALSE)</f>
        <v>-5000</v>
      </c>
    </row>
    <row r="80" spans="2:14" x14ac:dyDescent="0.35">
      <c r="B80" s="175" t="str">
        <f>SETUP!H47</f>
        <v>General Reserves</v>
      </c>
      <c r="D80" s="204">
        <f>VLOOKUP($B80,SETUP!$H:$Q,2,FALSE)</f>
        <v>10000</v>
      </c>
      <c r="E80" s="204">
        <f>VLOOKUP($B80,SETUP!$H:$Q,3,FALSE)</f>
        <v>0</v>
      </c>
      <c r="F80" s="145"/>
      <c r="G80" s="116">
        <f>VLOOKUP($B80,SETUP!$H:$Q,4,FALSE)</f>
        <v>20000</v>
      </c>
      <c r="H80" s="116">
        <f>VLOOKUP($B80,SETUP!$H:$Q,5,FALSE)</f>
        <v>0</v>
      </c>
      <c r="I80" s="116">
        <f>VLOOKUP($B80,SETUP!$H:$Q,6,FALSE)</f>
        <v>0</v>
      </c>
      <c r="J80" s="116">
        <f>VLOOKUP($B80,SETUP!$H:$Q,7,FALSE)</f>
        <v>0</v>
      </c>
      <c r="K80" s="116">
        <f>VLOOKUP($B80,SETUP!$H:$Q,8,FALSE)</f>
        <v>20000</v>
      </c>
      <c r="L80" s="145"/>
      <c r="M80" s="116">
        <f>VLOOKUP($B80,SETUP!$H:$Q,9,FALSE)</f>
        <v>10000</v>
      </c>
      <c r="N80" s="116">
        <f>VLOOKUP($B80,SETUP!$H:$Q,10,FALSE)</f>
        <v>-10000</v>
      </c>
    </row>
    <row r="81" spans="2:15" x14ac:dyDescent="0.35">
      <c r="B81" s="175" t="str">
        <f>SETUP!H48</f>
        <v>Grounds Equipment</v>
      </c>
      <c r="D81" s="204">
        <f>VLOOKUP($B81,SETUP!$H:$Q,2,FALSE)</f>
        <v>8000</v>
      </c>
      <c r="E81" s="204">
        <f>VLOOKUP($B81,SETUP!$H:$Q,3,FALSE)</f>
        <v>7066.17</v>
      </c>
      <c r="F81" s="145"/>
      <c r="G81" s="116">
        <f>VLOOKUP($B81,SETUP!$H:$Q,4,FALSE)</f>
        <v>7320</v>
      </c>
      <c r="H81" s="116">
        <f>VLOOKUP($B81,SETUP!$H:$Q,5,FALSE)</f>
        <v>0</v>
      </c>
      <c r="I81" s="116">
        <f>VLOOKUP($B81,SETUP!$H:$Q,6,FALSE)</f>
        <v>0</v>
      </c>
      <c r="J81" s="116">
        <f>VLOOKUP($B81,SETUP!$H:$Q,7,FALSE)</f>
        <v>0</v>
      </c>
      <c r="K81" s="116">
        <f>VLOOKUP($B81,SETUP!$H:$Q,8,FALSE)</f>
        <v>7320</v>
      </c>
      <c r="L81" s="145"/>
      <c r="M81" s="116">
        <f>VLOOKUP($B81,SETUP!$H:$Q,9,FALSE)</f>
        <v>7000</v>
      </c>
      <c r="N81" s="116">
        <f>VLOOKUP($B81,SETUP!$H:$Q,10,FALSE)</f>
        <v>-320</v>
      </c>
    </row>
    <row r="82" spans="2:15" x14ac:dyDescent="0.35">
      <c r="B82" s="175" t="str">
        <f>SETUP!H49</f>
        <v>Legal</v>
      </c>
      <c r="D82" s="204">
        <f>VLOOKUP($B82,SETUP!$H:$Q,2,FALSE)</f>
        <v>17000</v>
      </c>
      <c r="E82" s="204">
        <f>VLOOKUP($B82,SETUP!$H:$Q,3,FALSE)</f>
        <v>0</v>
      </c>
      <c r="F82" s="145"/>
      <c r="G82" s="116">
        <f>VLOOKUP($B82,SETUP!$H:$Q,4,FALSE)</f>
        <v>18000</v>
      </c>
      <c r="H82" s="116">
        <f>VLOOKUP($B82,SETUP!$H:$Q,5,FALSE)</f>
        <v>0</v>
      </c>
      <c r="I82" s="116">
        <f>VLOOKUP($B82,SETUP!$H:$Q,6,FALSE)</f>
        <v>0</v>
      </c>
      <c r="J82" s="116">
        <f>VLOOKUP($B82,SETUP!$H:$Q,7,FALSE)</f>
        <v>0</v>
      </c>
      <c r="K82" s="116">
        <f>VLOOKUP($B82,SETUP!$H:$Q,8,FALSE)</f>
        <v>18000</v>
      </c>
      <c r="L82" s="145"/>
      <c r="M82" s="116">
        <f>VLOOKUP($B82,SETUP!$H:$Q,9,FALSE)</f>
        <v>1000</v>
      </c>
      <c r="N82" s="116">
        <f>VLOOKUP($B82,SETUP!$H:$Q,10,FALSE)</f>
        <v>-17000</v>
      </c>
    </row>
    <row r="83" spans="2:15" x14ac:dyDescent="0.35">
      <c r="B83" s="175" t="str">
        <f>SETUP!H50</f>
        <v>Roundabout</v>
      </c>
      <c r="D83" s="204">
        <f>VLOOKUP($B83,SETUP!$H:$Q,2,FALSE)</f>
        <v>1000</v>
      </c>
      <c r="E83" s="204">
        <f>VLOOKUP($B83,SETUP!$H:$Q,3,FALSE)</f>
        <v>0</v>
      </c>
      <c r="F83" s="145"/>
      <c r="G83" s="116">
        <f>VLOOKUP($B83,SETUP!$H:$Q,4,FALSE)</f>
        <v>0</v>
      </c>
      <c r="H83" s="116">
        <f>VLOOKUP($B83,SETUP!$H:$Q,5,FALSE)</f>
        <v>0</v>
      </c>
      <c r="I83" s="116">
        <f>VLOOKUP($B83,SETUP!$H:$Q,6,FALSE)</f>
        <v>0</v>
      </c>
      <c r="J83" s="116">
        <f>VLOOKUP($B83,SETUP!$H:$Q,7,FALSE)</f>
        <v>0</v>
      </c>
      <c r="K83" s="116">
        <f>VLOOKUP($B83,SETUP!$H:$Q,8,FALSE)</f>
        <v>0</v>
      </c>
      <c r="L83" s="145"/>
      <c r="M83" s="116">
        <f>VLOOKUP($B83,SETUP!$H:$Q,9,FALSE)</f>
        <v>0</v>
      </c>
      <c r="N83" s="116">
        <f>VLOOKUP($B83,SETUP!$H:$Q,10,FALSE)</f>
        <v>0</v>
      </c>
    </row>
    <row r="84" spans="2:15" x14ac:dyDescent="0.35">
      <c r="B84" s="175" t="str">
        <f>SETUP!H51</f>
        <v>Spare Code</v>
      </c>
      <c r="D84" s="204">
        <f>VLOOKUP($B84,SETUP!$H:$Q,2,FALSE)</f>
        <v>0</v>
      </c>
      <c r="E84" s="204">
        <f>VLOOKUP($B84,SETUP!$H:$Q,3,FALSE)</f>
        <v>0</v>
      </c>
      <c r="F84" s="145"/>
      <c r="G84" s="116">
        <f>VLOOKUP($B84,SETUP!$H:$Q,4,FALSE)</f>
        <v>0</v>
      </c>
      <c r="H84" s="116">
        <f>VLOOKUP($B84,SETUP!$H:$Q,5,FALSE)</f>
        <v>0</v>
      </c>
      <c r="I84" s="116">
        <f>VLOOKUP($B84,SETUP!$H:$Q,6,FALSE)</f>
        <v>0</v>
      </c>
      <c r="J84" s="116">
        <f>VLOOKUP($B84,SETUP!$H:$Q,7,FALSE)</f>
        <v>0</v>
      </c>
      <c r="K84" s="116">
        <f>VLOOKUP($B84,SETUP!$H:$Q,8,FALSE)</f>
        <v>0</v>
      </c>
      <c r="L84" s="145"/>
      <c r="M84" s="116">
        <f>VLOOKUP($B84,SETUP!$H:$Q,9,FALSE)</f>
        <v>0</v>
      </c>
      <c r="N84" s="116">
        <f>VLOOKUP($B84,SETUP!$H:$Q,10,FALSE)</f>
        <v>0</v>
      </c>
    </row>
    <row r="85" spans="2:15" x14ac:dyDescent="0.35">
      <c r="B85" s="250" t="str">
        <f>"Total "&amp;B76</f>
        <v>Total Reserves</v>
      </c>
      <c r="D85" s="215">
        <f>SUM(D82:D83)</f>
        <v>18000</v>
      </c>
      <c r="E85" s="165">
        <f>SUM(E82:E83)</f>
        <v>0</v>
      </c>
      <c r="F85" s="145"/>
      <c r="G85" s="215">
        <f>SUM(G77:G83)</f>
        <v>63320</v>
      </c>
      <c r="H85" s="215">
        <f t="shared" ref="H85:N85" si="13">SUM(H77:H83)</f>
        <v>0</v>
      </c>
      <c r="I85" s="215">
        <f t="shared" si="13"/>
        <v>0</v>
      </c>
      <c r="J85" s="215">
        <f t="shared" si="13"/>
        <v>0</v>
      </c>
      <c r="K85" s="215">
        <f t="shared" si="13"/>
        <v>63320</v>
      </c>
      <c r="L85" s="252"/>
      <c r="M85" s="215">
        <f t="shared" si="13"/>
        <v>26250</v>
      </c>
      <c r="N85" s="215">
        <f t="shared" si="13"/>
        <v>-37070</v>
      </c>
    </row>
    <row r="86" spans="2:15" x14ac:dyDescent="0.35">
      <c r="F86" s="145"/>
      <c r="L86" s="145"/>
      <c r="O86" s="137"/>
    </row>
    <row r="87" spans="2:15" x14ac:dyDescent="0.35">
      <c r="B87" s="221" t="str">
        <f>SETUP!H52</f>
        <v>Events</v>
      </c>
      <c r="D87" s="214"/>
      <c r="E87" s="114"/>
      <c r="F87" s="145"/>
      <c r="G87" s="214"/>
      <c r="H87" s="160"/>
      <c r="I87" s="160"/>
      <c r="J87" s="160"/>
      <c r="K87" s="114"/>
      <c r="L87" s="145"/>
      <c r="M87" s="214"/>
      <c r="N87" s="114"/>
    </row>
    <row r="88" spans="2:15" x14ac:dyDescent="0.35">
      <c r="B88" s="175" t="str">
        <f>SETUP!H53</f>
        <v>Annual</v>
      </c>
      <c r="D88" s="204">
        <f>VLOOKUP($B88,SETUP!$H:$Q,2,FALSE)</f>
        <v>3000</v>
      </c>
      <c r="E88" s="204">
        <f>VLOOKUP($B88,SETUP!$H:$Q,3,FALSE)</f>
        <v>3497.0900000000006</v>
      </c>
      <c r="F88" s="145"/>
      <c r="G88" s="116">
        <f>VLOOKUP($B88,SETUP!$H:$Q,4,FALSE)</f>
        <v>1000</v>
      </c>
      <c r="H88" s="116">
        <f>VLOOKUP($B88,SETUP!$H:$Q,5,FALSE)</f>
        <v>83.82</v>
      </c>
      <c r="I88" s="116">
        <f>VLOOKUP($B88,SETUP!$H:$Q,6,FALSE)</f>
        <v>0</v>
      </c>
      <c r="J88" s="116">
        <f>VLOOKUP($B88,SETUP!$H:$Q,7,FALSE)</f>
        <v>83.82</v>
      </c>
      <c r="K88" s="116">
        <f>VLOOKUP($B88,SETUP!$H:$Q,8,FALSE)</f>
        <v>916.18000000000006</v>
      </c>
      <c r="L88" s="145"/>
      <c r="M88" s="116">
        <f>VLOOKUP($B88,SETUP!$H:$Q,9,FALSE)</f>
        <v>1000</v>
      </c>
      <c r="N88" s="116">
        <f>VLOOKUP($B88,SETUP!$H:$Q,10,FALSE)</f>
        <v>0</v>
      </c>
    </row>
    <row r="89" spans="2:15" x14ac:dyDescent="0.35">
      <c r="B89" s="175" t="str">
        <f>SETUP!H54</f>
        <v>Spare Code</v>
      </c>
      <c r="D89" s="204">
        <f>VLOOKUP($B89,SETUP!$H:$Q,2,FALSE)</f>
        <v>0</v>
      </c>
      <c r="E89" s="204">
        <f>VLOOKUP($B89,SETUP!$H:$Q,3,FALSE)</f>
        <v>0</v>
      </c>
      <c r="F89" s="145"/>
      <c r="G89" s="116">
        <f>VLOOKUP($B89,SETUP!$H:$Q,4,FALSE)</f>
        <v>0</v>
      </c>
      <c r="H89" s="116">
        <f>VLOOKUP($B89,SETUP!$H:$Q,5,FALSE)</f>
        <v>0</v>
      </c>
      <c r="I89" s="116">
        <f>VLOOKUP($B89,SETUP!$H:$Q,6,FALSE)</f>
        <v>0</v>
      </c>
      <c r="J89" s="116">
        <f>VLOOKUP($B89,SETUP!$H:$Q,7,FALSE)</f>
        <v>0</v>
      </c>
      <c r="K89" s="116">
        <f>VLOOKUP($B89,SETUP!$H:$Q,8,FALSE)</f>
        <v>0</v>
      </c>
      <c r="L89" s="145"/>
      <c r="M89" s="116">
        <v>0</v>
      </c>
      <c r="N89" s="116">
        <f>VLOOKUP($B89,SETUP!$H:$Q,10,FALSE)</f>
        <v>0</v>
      </c>
    </row>
    <row r="90" spans="2:15" x14ac:dyDescent="0.35">
      <c r="B90" s="175" t="str">
        <f>SETUP!H55</f>
        <v>Spare Code</v>
      </c>
      <c r="D90" s="204">
        <f>VLOOKUP($B90,SETUP!$H:$Q,2,FALSE)</f>
        <v>0</v>
      </c>
      <c r="E90" s="204">
        <f>VLOOKUP($B90,SETUP!$H:$Q,3,FALSE)</f>
        <v>0</v>
      </c>
      <c r="F90" s="145"/>
      <c r="G90" s="116">
        <f>VLOOKUP($B90,SETUP!$H:$Q,4,FALSE)</f>
        <v>0</v>
      </c>
      <c r="H90" s="116">
        <f>VLOOKUP($B90,SETUP!$H:$Q,5,FALSE)</f>
        <v>0</v>
      </c>
      <c r="I90" s="116">
        <f>VLOOKUP($B90,SETUP!$H:$Q,6,FALSE)</f>
        <v>0</v>
      </c>
      <c r="J90" s="116">
        <f>VLOOKUP($B90,SETUP!$H:$Q,7,FALSE)</f>
        <v>0</v>
      </c>
      <c r="K90" s="116">
        <f>VLOOKUP($B90,SETUP!$H:$Q,8,FALSE)</f>
        <v>0</v>
      </c>
      <c r="L90" s="145"/>
      <c r="M90" s="116">
        <v>0</v>
      </c>
      <c r="N90" s="116">
        <f>VLOOKUP($B90,SETUP!$H:$Q,10,FALSE)</f>
        <v>0</v>
      </c>
    </row>
    <row r="91" spans="2:15" x14ac:dyDescent="0.35">
      <c r="B91" s="250" t="str">
        <f>"Total "&amp;B87</f>
        <v>Total Events</v>
      </c>
      <c r="D91" s="215">
        <f>SUM(D88:D90)</f>
        <v>3000</v>
      </c>
      <c r="E91" s="165">
        <f t="shared" ref="E91" si="14">SUM(E88:E90)</f>
        <v>3497.0900000000006</v>
      </c>
      <c r="F91" s="145"/>
      <c r="G91" s="215">
        <f t="shared" ref="G91" si="15">SUM(G88:G90)</f>
        <v>1000</v>
      </c>
      <c r="H91" s="215">
        <f t="shared" ref="H91" si="16">SUM(H88:H90)</f>
        <v>83.82</v>
      </c>
      <c r="I91" s="215">
        <f t="shared" ref="I91" si="17">SUM(I88:I90)</f>
        <v>0</v>
      </c>
      <c r="J91" s="215">
        <f t="shared" ref="J91" si="18">SUM(J88:J90)</f>
        <v>83.82</v>
      </c>
      <c r="K91" s="165">
        <f t="shared" ref="K91" si="19">SUM(K88:K90)</f>
        <v>916.18000000000006</v>
      </c>
      <c r="L91" s="145"/>
      <c r="M91" s="215">
        <f t="shared" ref="M91" si="20">SUM(M88:M90)</f>
        <v>1000</v>
      </c>
      <c r="N91" s="165">
        <f t="shared" ref="N91" si="21">SUM(N88:N90)</f>
        <v>0</v>
      </c>
    </row>
    <row r="92" spans="2:15" x14ac:dyDescent="0.35">
      <c r="F92" s="145"/>
      <c r="L92" s="145"/>
      <c r="O92" s="137"/>
    </row>
    <row r="93" spans="2:15" x14ac:dyDescent="0.35">
      <c r="B93" s="221" t="str">
        <f>SETUP!H56</f>
        <v>Subscriptions</v>
      </c>
      <c r="D93" s="214"/>
      <c r="E93" s="114"/>
      <c r="F93" s="145"/>
      <c r="G93" s="214"/>
      <c r="H93" s="160"/>
      <c r="I93" s="160"/>
      <c r="J93" s="160"/>
      <c r="K93" s="114"/>
      <c r="L93" s="145"/>
      <c r="M93" s="214"/>
      <c r="N93" s="114"/>
    </row>
    <row r="94" spans="2:15" x14ac:dyDescent="0.35">
      <c r="B94" s="175" t="str">
        <f>SETUP!H57</f>
        <v>CHALC</v>
      </c>
      <c r="D94" s="204">
        <f>VLOOKUP($B94,SETUP!$H:$Q,2,FALSE)</f>
        <v>1700</v>
      </c>
      <c r="E94" s="204">
        <f>VLOOKUP($B94,SETUP!$H:$Q,3,FALSE)</f>
        <v>0</v>
      </c>
      <c r="F94" s="145"/>
      <c r="G94" s="116">
        <f>VLOOKUP($B94,SETUP!$H:$Q,4,FALSE)</f>
        <v>1700</v>
      </c>
      <c r="H94" s="116">
        <f>VLOOKUP($B94,SETUP!$H:$Q,5,FALSE)</f>
        <v>0</v>
      </c>
      <c r="I94" s="116">
        <f>VLOOKUP($B94,SETUP!$H:$Q,6,FALSE)</f>
        <v>0</v>
      </c>
      <c r="J94" s="116">
        <f>VLOOKUP($B94,SETUP!$H:$Q,7,FALSE)</f>
        <v>0</v>
      </c>
      <c r="K94" s="116">
        <f>VLOOKUP($B94,SETUP!$H:$Q,8,FALSE)</f>
        <v>1700</v>
      </c>
      <c r="L94" s="145"/>
      <c r="M94" s="116">
        <f>VLOOKUP($B94,SETUP!$H:$Q,9,FALSE)</f>
        <v>1700</v>
      </c>
      <c r="N94" s="116">
        <f>VLOOKUP($B94,SETUP!$H:$Q,10,FALSE)</f>
        <v>0</v>
      </c>
    </row>
    <row r="95" spans="2:15" x14ac:dyDescent="0.35">
      <c r="B95" s="175" t="str">
        <f>SETUP!H58</f>
        <v>Amazon</v>
      </c>
      <c r="D95" s="204">
        <f>VLOOKUP($B95,SETUP!$H:$Q,2,FALSE)</f>
        <v>95</v>
      </c>
      <c r="E95" s="204">
        <f>VLOOKUP($B95,SETUP!$H:$Q,3,FALSE)</f>
        <v>95</v>
      </c>
      <c r="F95" s="145"/>
      <c r="G95" s="116">
        <f>VLOOKUP($B95,SETUP!$H:$Q,4,FALSE)</f>
        <v>95</v>
      </c>
      <c r="H95" s="116">
        <f>VLOOKUP($B95,SETUP!$H:$Q,5,FALSE)</f>
        <v>0</v>
      </c>
      <c r="I95" s="116">
        <f>VLOOKUP($B95,SETUP!$H:$Q,6,FALSE)</f>
        <v>0</v>
      </c>
      <c r="J95" s="116">
        <f>VLOOKUP($B95,SETUP!$H:$Q,7,FALSE)</f>
        <v>0</v>
      </c>
      <c r="K95" s="116">
        <f>VLOOKUP($B95,SETUP!$H:$Q,8,FALSE)</f>
        <v>95</v>
      </c>
      <c r="L95" s="145"/>
      <c r="M95" s="116">
        <f>VLOOKUP($B95,SETUP!$H:$Q,9,FALSE)</f>
        <v>95</v>
      </c>
      <c r="N95" s="116">
        <f>VLOOKUP($B95,SETUP!$H:$Q,10,FALSE)</f>
        <v>0</v>
      </c>
    </row>
    <row r="96" spans="2:15" x14ac:dyDescent="0.35">
      <c r="B96" s="175" t="str">
        <f>SETUP!H59</f>
        <v>Google Play</v>
      </c>
      <c r="D96" s="204">
        <f>VLOOKUP($B96,SETUP!$H:$Q,2,FALSE)</f>
        <v>0</v>
      </c>
      <c r="E96" s="204">
        <f>VLOOKUP($B96,SETUP!$H:$Q,3,FALSE)</f>
        <v>36.659999999999997</v>
      </c>
      <c r="F96" s="145"/>
      <c r="G96" s="116">
        <f>VLOOKUP($B96,SETUP!$H:$Q,4,FALSE)</f>
        <v>36.99</v>
      </c>
      <c r="H96" s="116">
        <f>VLOOKUP($B96,SETUP!$H:$Q,5,FALSE)</f>
        <v>2.66</v>
      </c>
      <c r="I96" s="116">
        <f>VLOOKUP($B96,SETUP!$H:$Q,6,FALSE)</f>
        <v>0</v>
      </c>
      <c r="J96" s="116">
        <f>VLOOKUP($B96,SETUP!$H:$Q,7,FALSE)</f>
        <v>2.66</v>
      </c>
      <c r="K96" s="116">
        <f>VLOOKUP($B96,SETUP!$H:$Q,8,FALSE)</f>
        <v>34.33</v>
      </c>
      <c r="L96" s="145"/>
      <c r="M96" s="204">
        <f>SETUP!P59</f>
        <v>36.99</v>
      </c>
      <c r="N96" s="116">
        <f>VLOOKUP($B96,SETUP!$H:$Q,10,FALSE)</f>
        <v>0</v>
      </c>
    </row>
    <row r="97" spans="2:15" x14ac:dyDescent="0.35">
      <c r="B97" s="250" t="str">
        <f>"Total "&amp;B93</f>
        <v>Total Subscriptions</v>
      </c>
      <c r="D97" s="215">
        <f>SUM(D94:D96)</f>
        <v>1795</v>
      </c>
      <c r="E97" s="165">
        <f t="shared" ref="E97" si="22">SUM(E94:E96)</f>
        <v>131.66</v>
      </c>
      <c r="F97" s="145"/>
      <c r="G97" s="215">
        <f t="shared" ref="G97" si="23">SUM(G94:G96)</f>
        <v>1831.99</v>
      </c>
      <c r="H97" s="215">
        <f t="shared" ref="H97" si="24">SUM(H94:H96)</f>
        <v>2.66</v>
      </c>
      <c r="I97" s="215">
        <f t="shared" ref="I97" si="25">SUM(I94:I96)</f>
        <v>0</v>
      </c>
      <c r="J97" s="215">
        <f t="shared" ref="J97" si="26">SUM(J94:J96)</f>
        <v>2.66</v>
      </c>
      <c r="K97" s="165">
        <f t="shared" ref="K97" si="27">SUM(K94:K96)</f>
        <v>1829.33</v>
      </c>
      <c r="L97" s="145"/>
      <c r="M97" s="215">
        <f t="shared" ref="M97" si="28">SUM(M94:M96)</f>
        <v>1831.99</v>
      </c>
      <c r="N97" s="165">
        <f t="shared" ref="N97" si="29">SUM(N94:N96)</f>
        <v>0</v>
      </c>
    </row>
    <row r="98" spans="2:15" x14ac:dyDescent="0.35">
      <c r="F98" s="145"/>
      <c r="L98" s="145"/>
      <c r="O98" s="137"/>
    </row>
    <row r="99" spans="2:15" x14ac:dyDescent="0.35">
      <c r="B99" s="221" t="str">
        <f>SETUP!H60</f>
        <v>S137</v>
      </c>
      <c r="D99" s="214"/>
      <c r="E99" s="114"/>
      <c r="F99" s="145"/>
      <c r="G99" s="214"/>
      <c r="H99" s="160"/>
      <c r="I99" s="160"/>
      <c r="J99" s="160"/>
      <c r="K99" s="114"/>
      <c r="L99" s="145"/>
      <c r="M99" s="214"/>
      <c r="N99" s="114"/>
    </row>
    <row r="100" spans="2:15" x14ac:dyDescent="0.35">
      <c r="B100" s="175" t="str">
        <f>SETUP!H61</f>
        <v>Grants</v>
      </c>
      <c r="D100" s="204">
        <f>VLOOKUP($B100,SETUP!$H:$Q,2,FALSE)</f>
        <v>3000</v>
      </c>
      <c r="E100" s="204">
        <f>VLOOKUP($B100,SETUP!$H:$Q,3,FALSE)</f>
        <v>3155.6400000000003</v>
      </c>
      <c r="F100" s="145"/>
      <c r="G100" s="116">
        <f>VLOOKUP($B100,SETUP!$H:$Q,4,FALSE)</f>
        <v>3000</v>
      </c>
      <c r="H100" s="116">
        <f>VLOOKUP($B100,SETUP!$H:$Q,5,FALSE)</f>
        <v>2250</v>
      </c>
      <c r="I100" s="116">
        <f>VLOOKUP($B100,SETUP!$H:$Q,6,FALSE)</f>
        <v>0</v>
      </c>
      <c r="J100" s="116">
        <f>VLOOKUP($B100,SETUP!$H:$Q,7,FALSE)</f>
        <v>2250</v>
      </c>
      <c r="K100" s="116">
        <f>VLOOKUP($B100,SETUP!$H:$Q,8,FALSE)</f>
        <v>750</v>
      </c>
      <c r="L100" s="145"/>
      <c r="M100" s="116">
        <f>VLOOKUP($B100,SETUP!$H:$Q,9,FALSE)</f>
        <v>3000</v>
      </c>
      <c r="N100" s="116">
        <f>VLOOKUP($B100,SETUP!$H:$Q,10,FALSE)</f>
        <v>0</v>
      </c>
    </row>
    <row r="101" spans="2:15" x14ac:dyDescent="0.35">
      <c r="B101" s="175" t="str">
        <f>SETUP!H62</f>
        <v>Spare Code</v>
      </c>
      <c r="D101" s="204">
        <f>VLOOKUP($B101,SETUP!$H:$Q,2,FALSE)</f>
        <v>0</v>
      </c>
      <c r="E101" s="204">
        <f>VLOOKUP($B101,SETUP!$H:$Q,3,FALSE)</f>
        <v>0</v>
      </c>
      <c r="F101" s="145"/>
      <c r="G101" s="116">
        <f>VLOOKUP($B101,SETUP!$H:$Q,4,FALSE)</f>
        <v>0</v>
      </c>
      <c r="H101" s="116">
        <f>VLOOKUP($B101,SETUP!$H:$Q,5,FALSE)</f>
        <v>0</v>
      </c>
      <c r="I101" s="116">
        <f>VLOOKUP($B101,SETUP!$H:$Q,6,FALSE)</f>
        <v>0</v>
      </c>
      <c r="J101" s="116">
        <f>VLOOKUP($B101,SETUP!$H:$Q,7,FALSE)</f>
        <v>0</v>
      </c>
      <c r="K101" s="116">
        <f>VLOOKUP($B101,SETUP!$H:$Q,8,FALSE)</f>
        <v>0</v>
      </c>
      <c r="L101" s="145"/>
      <c r="M101" s="116">
        <v>0</v>
      </c>
      <c r="N101" s="116">
        <f>VLOOKUP($B101,SETUP!$H:$Q,10,FALSE)</f>
        <v>0</v>
      </c>
    </row>
    <row r="102" spans="2:15" x14ac:dyDescent="0.35">
      <c r="B102" s="175" t="str">
        <f>SETUP!H63</f>
        <v>Spare Code</v>
      </c>
      <c r="D102" s="204">
        <f>VLOOKUP($B102,SETUP!$H:$Q,2,FALSE)</f>
        <v>0</v>
      </c>
      <c r="E102" s="204">
        <f>VLOOKUP($B102,SETUP!$H:$Q,3,FALSE)</f>
        <v>0</v>
      </c>
      <c r="F102" s="145"/>
      <c r="G102" s="116">
        <f>VLOOKUP($B102,SETUP!$H:$Q,4,FALSE)</f>
        <v>0</v>
      </c>
      <c r="H102" s="116">
        <f>VLOOKUP($B102,SETUP!$H:$Q,5,FALSE)</f>
        <v>0</v>
      </c>
      <c r="I102" s="116">
        <f>VLOOKUP($B102,SETUP!$H:$Q,6,FALSE)</f>
        <v>0</v>
      </c>
      <c r="J102" s="116">
        <f>VLOOKUP($B102,SETUP!$H:$Q,7,FALSE)</f>
        <v>0</v>
      </c>
      <c r="K102" s="116">
        <f>VLOOKUP($B102,SETUP!$H:$Q,8,FALSE)</f>
        <v>0</v>
      </c>
      <c r="L102" s="145"/>
      <c r="M102" s="116">
        <v>0</v>
      </c>
      <c r="N102" s="116">
        <f>VLOOKUP($B102,SETUP!$H:$Q,10,FALSE)</f>
        <v>0</v>
      </c>
    </row>
    <row r="103" spans="2:15" x14ac:dyDescent="0.35">
      <c r="B103" s="250" t="str">
        <f>"Total "&amp;B99</f>
        <v>Total S137</v>
      </c>
      <c r="D103" s="215">
        <f>SUM(D100:D102)</f>
        <v>3000</v>
      </c>
      <c r="E103" s="165">
        <f t="shared" ref="E103" si="30">SUM(E100:E102)</f>
        <v>3155.6400000000003</v>
      </c>
      <c r="F103" s="145"/>
      <c r="G103" s="215">
        <f t="shared" ref="G103" si="31">SUM(G100:G102)</f>
        <v>3000</v>
      </c>
      <c r="H103" s="215">
        <f t="shared" ref="H103" si="32">SUM(H100:H102)</f>
        <v>2250</v>
      </c>
      <c r="I103" s="215">
        <f t="shared" ref="I103" si="33">SUM(I100:I102)</f>
        <v>0</v>
      </c>
      <c r="J103" s="215">
        <f t="shared" ref="J103" si="34">SUM(J100:J102)</f>
        <v>2250</v>
      </c>
      <c r="K103" s="165">
        <f t="shared" ref="K103" si="35">SUM(K100:K102)</f>
        <v>750</v>
      </c>
      <c r="L103" s="145"/>
      <c r="M103" s="215">
        <f t="shared" ref="M103" si="36">SUM(M100:M102)</f>
        <v>3000</v>
      </c>
      <c r="N103" s="165">
        <f t="shared" ref="N103" si="37">SUM(N100:N102)</f>
        <v>0</v>
      </c>
    </row>
    <row r="104" spans="2:15" x14ac:dyDescent="0.35">
      <c r="L104" s="145"/>
      <c r="O104" s="137"/>
    </row>
    <row r="105" spans="2:15" x14ac:dyDescent="0.35">
      <c r="B105" s="18" t="s">
        <v>187</v>
      </c>
      <c r="D105" s="128">
        <f>SUM(D43,D53,D63,D69,D91,D97,D103)</f>
        <v>167155</v>
      </c>
      <c r="E105" s="128">
        <f>SUM(E43,E53,E63,E69,E91,E97,E103)</f>
        <v>152285.30000000005</v>
      </c>
      <c r="G105" s="128">
        <f>SUM(G43,G53,G63,G69,G91,G97,G103)</f>
        <v>173997.99</v>
      </c>
      <c r="H105" s="128">
        <f>SUM(H43,H53,H63,H69,H91,H97,H103)</f>
        <v>39579.69</v>
      </c>
      <c r="I105" s="128">
        <f>SUM(I43,I53,I63,I69,I91,I97,I103)</f>
        <v>0</v>
      </c>
      <c r="J105" s="128">
        <f>SUM(J43,J53,J63,J69,J91,J97,J103)</f>
        <v>39579.69</v>
      </c>
      <c r="K105" s="128">
        <f>SUM(K43,K53,K63,K69,K91,K97,K103)</f>
        <v>134418.30000000002</v>
      </c>
      <c r="L105" s="145"/>
      <c r="M105" s="128">
        <f>SUM(M43,M53,M63,M69,M91,M97,M103,M85,M74)</f>
        <v>200247.99</v>
      </c>
      <c r="N105" s="128">
        <f>SUM(N43,N53,N63,N69,N91,N97,N103)</f>
        <v>0</v>
      </c>
      <c r="O105" s="137"/>
    </row>
    <row r="106" spans="2:15" x14ac:dyDescent="0.35">
      <c r="B106" s="122"/>
      <c r="D106" s="122"/>
      <c r="E106" s="122"/>
      <c r="G106" s="122"/>
      <c r="H106" s="122"/>
      <c r="I106" s="122"/>
      <c r="J106" s="122"/>
      <c r="K106" s="122"/>
      <c r="L106" s="145"/>
      <c r="M106" s="216"/>
      <c r="N106" s="122"/>
    </row>
    <row r="107" spans="2:15" x14ac:dyDescent="0.35">
      <c r="K107" s="210"/>
      <c r="L107" s="145"/>
      <c r="N107" s="210"/>
    </row>
    <row r="108" spans="2:15" x14ac:dyDescent="0.35">
      <c r="B108" s="211" t="str">
        <f>SETUP!C14&amp;" Precept"</f>
        <v>2027-28 Precept</v>
      </c>
      <c r="D108" s="217"/>
      <c r="L108" s="145"/>
    </row>
    <row r="109" spans="2:15" x14ac:dyDescent="0.35">
      <c r="B109" s="51" t="s">
        <v>118</v>
      </c>
      <c r="D109" s="218">
        <f>M22-IFERROR(VLOOKUP("Precept",B7:M15,12,FALSE),0)</f>
        <v>44535</v>
      </c>
    </row>
    <row r="110" spans="2:15" x14ac:dyDescent="0.35">
      <c r="B110" s="51" t="s">
        <v>102</v>
      </c>
      <c r="D110" s="219">
        <f>M105</f>
        <v>200247.99</v>
      </c>
    </row>
    <row r="111" spans="2:15" x14ac:dyDescent="0.35">
      <c r="B111" s="51" t="s">
        <v>250</v>
      </c>
      <c r="D111" s="218">
        <v>0</v>
      </c>
    </row>
    <row r="112" spans="2:15" x14ac:dyDescent="0.35">
      <c r="B112" s="28" t="s">
        <v>104</v>
      </c>
      <c r="D112" s="220">
        <f>D110-D109-D111</f>
        <v>155712.99</v>
      </c>
    </row>
  </sheetData>
  <mergeCells count="8">
    <mergeCell ref="M5:N5"/>
    <mergeCell ref="M25:N25"/>
    <mergeCell ref="B5:B6"/>
    <mergeCell ref="D5:E5"/>
    <mergeCell ref="D25:E25"/>
    <mergeCell ref="G5:K5"/>
    <mergeCell ref="G25:K25"/>
    <mergeCell ref="B25:B26"/>
  </mergeCells>
  <pageMargins left="0.59055118110236227" right="0.59055118110236227" top="0.39370078740157483" bottom="0.35433070866141736" header="0" footer="0.31496062992125984"/>
  <pageSetup paperSize="9" scale="65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  <pageSetUpPr fitToPage="1"/>
  </sheetPr>
  <dimension ref="B1:W101"/>
  <sheetViews>
    <sheetView showGridLines="0" zoomScale="96" zoomScaleNormal="96" workbookViewId="0">
      <pane ySplit="5" topLeftCell="A27" activePane="bottomLeft" state="frozen"/>
      <selection pane="bottomLeft" activeCell="D22" sqref="D22"/>
    </sheetView>
  </sheetViews>
  <sheetFormatPr defaultColWidth="8.81640625" defaultRowHeight="13" x14ac:dyDescent="0.3"/>
  <cols>
    <col min="1" max="1" width="2.1796875" style="11" customWidth="1"/>
    <col min="2" max="2" width="34.54296875" style="11" bestFit="1" customWidth="1"/>
    <col min="3" max="4" width="9.1796875" style="11" bestFit="1" customWidth="1"/>
    <col min="5" max="13" width="8.81640625" style="11" bestFit="1" customWidth="1"/>
    <col min="14" max="14" width="7.81640625" style="11" bestFit="1" customWidth="1"/>
    <col min="15" max="15" width="9.81640625" style="11" bestFit="1" customWidth="1"/>
    <col min="16" max="16" width="10.81640625" style="11" customWidth="1"/>
    <col min="17" max="17" width="9.81640625" style="11" bestFit="1" customWidth="1"/>
    <col min="18" max="19" width="10.453125" style="11" bestFit="1" customWidth="1"/>
    <col min="20" max="20" width="10.54296875" style="11" bestFit="1" customWidth="1"/>
    <col min="21" max="21" width="9.1796875" style="11" customWidth="1"/>
    <col min="22" max="22" width="8.81640625" style="11"/>
    <col min="23" max="23" width="9.81640625" style="11" bestFit="1" customWidth="1"/>
    <col min="24" max="16384" width="8.81640625" style="11"/>
  </cols>
  <sheetData>
    <row r="1" spans="2:23" s="122" customFormat="1" x14ac:dyDescent="0.3">
      <c r="B1" s="134" t="str">
        <f>SETUP!C4&amp;" Parish Council"</f>
        <v>Barnton Parish Council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50"/>
      <c r="U1" s="150"/>
    </row>
    <row r="2" spans="2:23" s="122" customFormat="1" x14ac:dyDescent="0.35">
      <c r="B2" s="134" t="s">
        <v>145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51"/>
      <c r="U2" s="151"/>
    </row>
    <row r="3" spans="2:23" s="122" customFormat="1" ht="12" customHeight="1" x14ac:dyDescent="0.3"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3"/>
      <c r="U3" s="103"/>
    </row>
    <row r="4" spans="2:23" x14ac:dyDescent="0.3">
      <c r="B4" s="337" t="s">
        <v>146</v>
      </c>
      <c r="C4" s="154">
        <f>SETUP!C10</f>
        <v>46113</v>
      </c>
      <c r="D4" s="154">
        <f>EDATE(C4,1)</f>
        <v>46143</v>
      </c>
      <c r="E4" s="154">
        <f t="shared" ref="E4:N4" si="0">EDATE(D4,1)</f>
        <v>46174</v>
      </c>
      <c r="F4" s="154">
        <f t="shared" si="0"/>
        <v>46204</v>
      </c>
      <c r="G4" s="154">
        <f t="shared" si="0"/>
        <v>46235</v>
      </c>
      <c r="H4" s="154">
        <f t="shared" si="0"/>
        <v>46266</v>
      </c>
      <c r="I4" s="154">
        <f t="shared" si="0"/>
        <v>46296</v>
      </c>
      <c r="J4" s="154">
        <f t="shared" si="0"/>
        <v>46327</v>
      </c>
      <c r="K4" s="154">
        <f t="shared" si="0"/>
        <v>46357</v>
      </c>
      <c r="L4" s="154">
        <f t="shared" si="0"/>
        <v>46388</v>
      </c>
      <c r="M4" s="154">
        <f t="shared" si="0"/>
        <v>46419</v>
      </c>
      <c r="N4" s="154">
        <f t="shared" si="0"/>
        <v>46447</v>
      </c>
      <c r="O4" s="155" t="s">
        <v>81</v>
      </c>
      <c r="P4" s="334" t="s">
        <v>19</v>
      </c>
      <c r="Q4" s="335" t="s">
        <v>20</v>
      </c>
      <c r="R4" s="335" t="s">
        <v>21</v>
      </c>
      <c r="S4" s="336" t="s">
        <v>100</v>
      </c>
      <c r="T4" s="156" t="s">
        <v>147</v>
      </c>
      <c r="U4" s="156" t="s">
        <v>148</v>
      </c>
    </row>
    <row r="5" spans="2:23" x14ac:dyDescent="0.3">
      <c r="B5" s="337"/>
      <c r="C5" s="157">
        <f>C4</f>
        <v>46113</v>
      </c>
      <c r="D5" s="157">
        <f t="shared" ref="D5:N5" si="1">D4</f>
        <v>46143</v>
      </c>
      <c r="E5" s="157">
        <f t="shared" si="1"/>
        <v>46174</v>
      </c>
      <c r="F5" s="157">
        <f t="shared" si="1"/>
        <v>46204</v>
      </c>
      <c r="G5" s="157">
        <f t="shared" si="1"/>
        <v>46235</v>
      </c>
      <c r="H5" s="157">
        <f t="shared" si="1"/>
        <v>46266</v>
      </c>
      <c r="I5" s="157">
        <f t="shared" si="1"/>
        <v>46296</v>
      </c>
      <c r="J5" s="157">
        <f t="shared" si="1"/>
        <v>46327</v>
      </c>
      <c r="K5" s="157">
        <f t="shared" si="1"/>
        <v>46357</v>
      </c>
      <c r="L5" s="157">
        <f t="shared" si="1"/>
        <v>46388</v>
      </c>
      <c r="M5" s="157">
        <f t="shared" si="1"/>
        <v>46419</v>
      </c>
      <c r="N5" s="157">
        <f t="shared" si="1"/>
        <v>46447</v>
      </c>
      <c r="O5" s="158" t="s">
        <v>85</v>
      </c>
      <c r="P5" s="334"/>
      <c r="Q5" s="335"/>
      <c r="R5" s="335"/>
      <c r="S5" s="336"/>
      <c r="T5" s="159" t="s">
        <v>17</v>
      </c>
      <c r="U5" s="159" t="s">
        <v>10</v>
      </c>
    </row>
    <row r="6" spans="2:23" x14ac:dyDescent="0.3">
      <c r="B6" s="174" t="str">
        <f>SETUP!H4</f>
        <v>Administration</v>
      </c>
      <c r="C6" s="160" t="str">
        <f>IF(SUMIFS(Payments!$H:$H,Payments!$L:$L,"="&amp;$B6,Payments!$Q:$Q,"&gt;="&amp;C$4,Payments!$Q:$Q,"&lt;"&amp;EDATE(C$4,1))=0,"",
SUMIFS(Payments!$H:$H,Payments!$L:$L,"="&amp;$B6,Payments!$Q:$Q,"&gt;="&amp;C$4,Payments!$Q:$Q,"&lt;"&amp;EDATE(C$4,1)))</f>
        <v/>
      </c>
      <c r="D6" s="160" t="str">
        <f>IF(SUMIFS(Payments!$H:$H,Payments!$L:$L,"="&amp;$B6,Payments!$Q:$Q,"&gt;="&amp;D$4,Payments!$Q:$Q,"&lt;"&amp;EDATE(D$4,1))=0,"",
SUMIFS(Payments!$H:$H,Payments!$L:$L,"="&amp;$B6,Payments!$Q:$Q,"&gt;="&amp;D$4,Payments!$Q:$Q,"&lt;"&amp;EDATE(D$4,1)))</f>
        <v/>
      </c>
      <c r="E6" s="160" t="str">
        <f>IF(SUMIFS(Payments!$H:$H,Payments!$L:$L,"="&amp;$B6,Payments!$Q:$Q,"&gt;="&amp;E$4,Payments!$Q:$Q,"&lt;"&amp;EDATE(E$4,1))=0,"",
SUMIFS(Payments!$H:$H,Payments!$L:$L,"="&amp;$B6,Payments!$Q:$Q,"&gt;="&amp;E$4,Payments!$Q:$Q,"&lt;"&amp;EDATE(E$4,1)))</f>
        <v/>
      </c>
      <c r="F6" s="160" t="str">
        <f>IF(SUMIFS(Payments!$H:$H,Payments!$L:$L,"="&amp;$B6,Payments!$Q:$Q,"&gt;="&amp;F$4,Payments!$Q:$Q,"&lt;"&amp;EDATE(F$4,1))=0,"",
SUMIFS(Payments!$H:$H,Payments!$L:$L,"="&amp;$B6,Payments!$Q:$Q,"&gt;="&amp;F$4,Payments!$Q:$Q,"&lt;"&amp;EDATE(F$4,1)))</f>
        <v/>
      </c>
      <c r="G6" s="160" t="str">
        <f>IF(SUMIFS(Payments!$H:$H,Payments!$L:$L,"="&amp;$B6,Payments!$Q:$Q,"&gt;="&amp;G$4,Payments!$Q:$Q,"&lt;"&amp;EDATE(G$4,1))=0,"",
SUMIFS(Payments!$H:$H,Payments!$L:$L,"="&amp;$B6,Payments!$Q:$Q,"&gt;="&amp;G$4,Payments!$Q:$Q,"&lt;"&amp;EDATE(G$4,1)))</f>
        <v/>
      </c>
      <c r="H6" s="160" t="str">
        <f>IF(SUMIFS(Payments!$H:$H,Payments!$L:$L,"="&amp;$B6,Payments!$Q:$Q,"&gt;="&amp;H$4,Payments!$Q:$Q,"&lt;"&amp;EDATE(H$4,1))=0,"",
SUMIFS(Payments!$H:$H,Payments!$L:$L,"="&amp;$B6,Payments!$Q:$Q,"&gt;="&amp;H$4,Payments!$Q:$Q,"&lt;"&amp;EDATE(H$4,1)))</f>
        <v/>
      </c>
      <c r="I6" s="160" t="str">
        <f>IF(SUMIFS(Payments!$H:$H,Payments!$L:$L,"="&amp;$B6,Payments!$Q:$Q,"&gt;="&amp;I$4,Payments!$Q:$Q,"&lt;"&amp;EDATE(I$4,1))=0,"",
SUMIFS(Payments!$H:$H,Payments!$L:$L,"="&amp;$B6,Payments!$Q:$Q,"&gt;="&amp;I$4,Payments!$Q:$Q,"&lt;"&amp;EDATE(I$4,1)))</f>
        <v/>
      </c>
      <c r="J6" s="160" t="str">
        <f>IF(SUMIFS(Payments!$H:$H,Payments!$L:$L,"="&amp;$B6,Payments!$Q:$Q,"&gt;="&amp;J$4,Payments!$Q:$Q,"&lt;"&amp;EDATE(J$4,1))=0,"",
SUMIFS(Payments!$H:$H,Payments!$L:$L,"="&amp;$B6,Payments!$Q:$Q,"&gt;="&amp;J$4,Payments!$Q:$Q,"&lt;"&amp;EDATE(J$4,1)))</f>
        <v/>
      </c>
      <c r="K6" s="160" t="str">
        <f>IF(SUMIFS(Payments!$H:$H,Payments!$L:$L,"="&amp;$B6,Payments!$Q:$Q,"&gt;="&amp;K$4,Payments!$Q:$Q,"&lt;"&amp;EDATE(K$4,1))=0,"",
SUMIFS(Payments!$H:$H,Payments!$L:$L,"="&amp;$B6,Payments!$Q:$Q,"&gt;="&amp;K$4,Payments!$Q:$Q,"&lt;"&amp;EDATE(K$4,1)))</f>
        <v/>
      </c>
      <c r="L6" s="160" t="str">
        <f>IF(SUMIFS(Payments!$H:$H,Payments!$L:$L,"="&amp;$B6,Payments!$Q:$Q,"&gt;="&amp;L$4,Payments!$Q:$Q,"&lt;"&amp;EDATE(L$4,1))=0,"",
SUMIFS(Payments!$H:$H,Payments!$L:$L,"="&amp;$B6,Payments!$Q:$Q,"&gt;="&amp;L$4,Payments!$Q:$Q,"&lt;"&amp;EDATE(L$4,1)))</f>
        <v/>
      </c>
      <c r="M6" s="160" t="str">
        <f>IF(SUMIFS(Payments!$H:$H,Payments!$L:$L,"="&amp;$B6,Payments!$Q:$Q,"&gt;="&amp;M$4,Payments!$Q:$Q,"&lt;"&amp;EDATE(M$4,1))=0,"",
SUMIFS(Payments!$H:$H,Payments!$L:$L,"="&amp;$B6,Payments!$Q:$Q,"&gt;="&amp;M$4,Payments!$Q:$Q,"&lt;"&amp;EDATE(M$4,1)))</f>
        <v/>
      </c>
      <c r="N6" s="160" t="str">
        <f>IF(SUMIFS(Payments!$H:$H,Payments!$L:$L,"="&amp;$B6,Payments!$Q:$Q,"&gt;="&amp;N$4,Payments!$Q:$Q,"&lt;"&amp;EDATE(N$4,1))=0,"",
SUMIFS(Payments!$H:$H,Payments!$L:$L,"="&amp;$B6,Payments!$Q:$Q,"&gt;="&amp;N$4,Payments!$Q:$Q,"&lt;"&amp;EDATE(N$4,1)))</f>
        <v/>
      </c>
      <c r="O6" s="160"/>
      <c r="P6" s="160"/>
      <c r="Q6" s="160"/>
      <c r="R6" s="160"/>
      <c r="S6" s="160"/>
      <c r="T6" s="161"/>
      <c r="U6" s="162"/>
    </row>
    <row r="7" spans="2:23" x14ac:dyDescent="0.3">
      <c r="B7" s="175" t="str">
        <f>SETUP!H5</f>
        <v>Clerk Salary (net)</v>
      </c>
      <c r="C7" s="116">
        <f>IF(SUMIFS(Payments!$H:$H,Payments!$L:$L,"="&amp;$B7,Payments!$Q:$Q,"&gt;="&amp;C$4,Payments!$Q:$Q,"&lt;"&amp;EDATE(C$4,1))=0,"",
SUMIFS(Payments!$H:$H,Payments!$L:$L,"="&amp;$B7,Payments!$Q:$Q,"&gt;="&amp;C$4,Payments!$Q:$Q,"&lt;"&amp;EDATE(C$4,1)))</f>
        <v>2494.15</v>
      </c>
      <c r="D7" s="116">
        <f>IF(SUMIFS(Payments!$H:$H,Payments!$L:$L,"="&amp;$B7,Payments!$Q:$Q,"&gt;="&amp;D$4,Payments!$Q:$Q,"&lt;"&amp;EDATE(D$4,1))=0,"",
SUMIFS(Payments!$H:$H,Payments!$L:$L,"="&amp;$B7,Payments!$Q:$Q,"&gt;="&amp;D$4,Payments!$Q:$Q,"&lt;"&amp;EDATE(D$4,1)))</f>
        <v>2493.9499999999998</v>
      </c>
      <c r="E7" s="116" t="str">
        <f>IF(SUMIFS(Payments!$H:$H,Payments!$L:$L,"="&amp;$B7,Payments!$Q:$Q,"&gt;="&amp;E$4,Payments!$Q:$Q,"&lt;"&amp;EDATE(E$4,1))=0,"",
SUMIFS(Payments!$H:$H,Payments!$L:$L,"="&amp;$B7,Payments!$Q:$Q,"&gt;="&amp;E$4,Payments!$Q:$Q,"&lt;"&amp;EDATE(E$4,1)))</f>
        <v/>
      </c>
      <c r="F7" s="116" t="str">
        <f>IF(SUMIFS(Payments!$H:$H,Payments!$L:$L,"="&amp;$B7,Payments!$Q:$Q,"&gt;="&amp;F$4,Payments!$Q:$Q,"&lt;"&amp;EDATE(F$4,1))=0,"",
SUMIFS(Payments!$H:$H,Payments!$L:$L,"="&amp;$B7,Payments!$Q:$Q,"&gt;="&amp;F$4,Payments!$Q:$Q,"&lt;"&amp;EDATE(F$4,1)))</f>
        <v/>
      </c>
      <c r="G7" s="116" t="str">
        <f>IF(SUMIFS(Payments!$H:$H,Payments!$L:$L,"="&amp;$B7,Payments!$Q:$Q,"&gt;="&amp;G$4,Payments!$Q:$Q,"&lt;"&amp;EDATE(G$4,1))=0,"",
SUMIFS(Payments!$H:$H,Payments!$L:$L,"="&amp;$B7,Payments!$Q:$Q,"&gt;="&amp;G$4,Payments!$Q:$Q,"&lt;"&amp;EDATE(G$4,1)))</f>
        <v/>
      </c>
      <c r="H7" s="116" t="str">
        <f>IF(SUMIFS(Payments!$H:$H,Payments!$L:$L,"="&amp;$B7,Payments!$Q:$Q,"&gt;="&amp;H$4,Payments!$Q:$Q,"&lt;"&amp;EDATE(H$4,1))=0,"",
SUMIFS(Payments!$H:$H,Payments!$L:$L,"="&amp;$B7,Payments!$Q:$Q,"&gt;="&amp;H$4,Payments!$Q:$Q,"&lt;"&amp;EDATE(H$4,1)))</f>
        <v/>
      </c>
      <c r="I7" s="116" t="str">
        <f>IF(SUMIFS(Payments!$H:$H,Payments!$L:$L,"="&amp;$B7,Payments!$Q:$Q,"&gt;="&amp;I$4,Payments!$Q:$Q,"&lt;"&amp;EDATE(I$4,1))=0,"",
SUMIFS(Payments!$H:$H,Payments!$L:$L,"="&amp;$B7,Payments!$Q:$Q,"&gt;="&amp;I$4,Payments!$Q:$Q,"&lt;"&amp;EDATE(I$4,1)))</f>
        <v/>
      </c>
      <c r="J7" s="116" t="str">
        <f>IF(SUMIFS(Payments!$H:$H,Payments!$L:$L,"="&amp;$B7,Payments!$Q:$Q,"&gt;="&amp;J$4,Payments!$Q:$Q,"&lt;"&amp;EDATE(J$4,1))=0,"",
SUMIFS(Payments!$H:$H,Payments!$L:$L,"="&amp;$B7,Payments!$Q:$Q,"&gt;="&amp;J$4,Payments!$Q:$Q,"&lt;"&amp;EDATE(J$4,1)))</f>
        <v/>
      </c>
      <c r="K7" s="116" t="str">
        <f>IF(SUMIFS(Payments!$H:$H,Payments!$L:$L,"="&amp;$B7,Payments!$Q:$Q,"&gt;="&amp;K$4,Payments!$Q:$Q,"&lt;"&amp;EDATE(K$4,1))=0,"",
SUMIFS(Payments!$H:$H,Payments!$L:$L,"="&amp;$B7,Payments!$Q:$Q,"&gt;="&amp;K$4,Payments!$Q:$Q,"&lt;"&amp;EDATE(K$4,1)))</f>
        <v/>
      </c>
      <c r="L7" s="116" t="str">
        <f>IF(SUMIFS(Payments!$H:$H,Payments!$L:$L,"="&amp;$B7,Payments!$Q:$Q,"&gt;="&amp;L$4,Payments!$Q:$Q,"&lt;"&amp;EDATE(L$4,1))=0,"",
SUMIFS(Payments!$H:$H,Payments!$L:$L,"="&amp;$B7,Payments!$Q:$Q,"&gt;="&amp;L$4,Payments!$Q:$Q,"&lt;"&amp;EDATE(L$4,1)))</f>
        <v/>
      </c>
      <c r="M7" s="116" t="str">
        <f>IF(SUMIFS(Payments!$H:$H,Payments!$L:$L,"="&amp;$B7,Payments!$Q:$Q,"&gt;="&amp;M$4,Payments!$Q:$Q,"&lt;"&amp;EDATE(M$4,1))=0,"",
SUMIFS(Payments!$H:$H,Payments!$L:$L,"="&amp;$B7,Payments!$Q:$Q,"&gt;="&amp;M$4,Payments!$Q:$Q,"&lt;"&amp;EDATE(M$4,1)))</f>
        <v/>
      </c>
      <c r="N7" s="116" t="str">
        <f>IF(SUMIFS(Payments!$H:$H,Payments!$L:$L,"="&amp;$B7,Payments!$Q:$Q,"&gt;="&amp;N$4,Payments!$Q:$Q,"&lt;"&amp;EDATE(N$4,1))=0,"",
SUMIFS(Payments!$H:$H,Payments!$L:$L,"="&amp;$B7,Payments!$Q:$Q,"&gt;="&amp;N$4,Payments!$Q:$Q,"&lt;"&amp;EDATE(N$4,1)))</f>
        <v/>
      </c>
      <c r="O7" s="116">
        <f t="shared" ref="O7:O29" si="2">SUM(C7:N7)</f>
        <v>4988.1000000000004</v>
      </c>
      <c r="P7" s="116">
        <f>SUMIFS(Payments!$H:$H,Payments!$L:L,"="&amp;$B7,Payments!$Q:$Q,"="&amp;"")</f>
        <v>0</v>
      </c>
      <c r="Q7" s="116">
        <f t="shared" ref="Q7:Q35" si="3">SUM(O7:P7)</f>
        <v>4988.1000000000004</v>
      </c>
      <c r="R7" s="116">
        <f>VLOOKUP(B7,SETUP!H:K,4,FALSE)</f>
        <v>33000</v>
      </c>
      <c r="S7" s="116">
        <f t="shared" ref="S7:S35" si="4">R7-Q7</f>
        <v>28011.9</v>
      </c>
      <c r="T7" s="163">
        <f t="shared" ref="T7:T21" si="5">IF(Q7=0,0,Q7/Q$86)</f>
        <v>0.12602675766283167</v>
      </c>
      <c r="U7" s="163">
        <f>IF(Q7=0,0,IF(AGAR!E$8=0,"No precept",Q7/AGAR!E$8))</f>
        <v>3.2033934225144979E-2</v>
      </c>
      <c r="V7" s="11" t="s">
        <v>256</v>
      </c>
      <c r="W7" s="266">
        <f>Q7+Q8+Q9+Q10+Q11+Q1+Q12</f>
        <v>15037.2</v>
      </c>
    </row>
    <row r="8" spans="2:23" x14ac:dyDescent="0.3">
      <c r="B8" s="175" t="str">
        <f>SETUP!H6</f>
        <v>Assistant Clerk Salary (net)</v>
      </c>
      <c r="C8" s="116">
        <f>IF(SUMIFS(Payments!$H:$H,Payments!$L:$L,"="&amp;$B8,Payments!$Q:$Q,"&gt;="&amp;C$4,Payments!$Q:$Q,"&lt;"&amp;EDATE(C$4,1))=0,"",
SUMIFS(Payments!$H:$H,Payments!$L:$L,"="&amp;$B8,Payments!$Q:$Q,"&gt;="&amp;C$4,Payments!$Q:$Q,"&lt;"&amp;EDATE(C$4,1)))</f>
        <v>1248.26</v>
      </c>
      <c r="D8" s="116">
        <f>IF(SUMIFS(Payments!$H:$H,Payments!$L:$L,"="&amp;$B8,Payments!$Q:$Q,"&gt;="&amp;D$4,Payments!$Q:$Q,"&lt;"&amp;EDATE(D$4,1))=0,"",
SUMIFS(Payments!$H:$H,Payments!$L:$L,"="&amp;$B8,Payments!$Q:$Q,"&gt;="&amp;D$4,Payments!$Q:$Q,"&lt;"&amp;EDATE(D$4,1)))</f>
        <v>1248.26</v>
      </c>
      <c r="E8" s="116" t="str">
        <f>IF(SUMIFS(Payments!$H:$H,Payments!$L:$L,"="&amp;$B8,Payments!$Q:$Q,"&gt;="&amp;E$4,Payments!$Q:$Q,"&lt;"&amp;EDATE(E$4,1))=0,"",
SUMIFS(Payments!$H:$H,Payments!$L:$L,"="&amp;$B8,Payments!$Q:$Q,"&gt;="&amp;E$4,Payments!$Q:$Q,"&lt;"&amp;EDATE(E$4,1)))</f>
        <v/>
      </c>
      <c r="F8" s="116" t="str">
        <f>IF(SUMIFS(Payments!$H:$H,Payments!$L:$L,"="&amp;$B8,Payments!$Q:$Q,"&gt;="&amp;F$4,Payments!$Q:$Q,"&lt;"&amp;EDATE(F$4,1))=0,"",
SUMIFS(Payments!$H:$H,Payments!$L:$L,"="&amp;$B8,Payments!$Q:$Q,"&gt;="&amp;F$4,Payments!$Q:$Q,"&lt;"&amp;EDATE(F$4,1)))</f>
        <v/>
      </c>
      <c r="G8" s="116" t="str">
        <f>IF(SUMIFS(Payments!$H:$H,Payments!$L:$L,"="&amp;$B8,Payments!$Q:$Q,"&gt;="&amp;G$4,Payments!$Q:$Q,"&lt;"&amp;EDATE(G$4,1))=0,"",
SUMIFS(Payments!$H:$H,Payments!$L:$L,"="&amp;$B8,Payments!$Q:$Q,"&gt;="&amp;G$4,Payments!$Q:$Q,"&lt;"&amp;EDATE(G$4,1)))</f>
        <v/>
      </c>
      <c r="H8" s="116" t="str">
        <f>IF(SUMIFS(Payments!$H:$H,Payments!$L:$L,"="&amp;$B8,Payments!$Q:$Q,"&gt;="&amp;H$4,Payments!$Q:$Q,"&lt;"&amp;EDATE(H$4,1))=0,"",
SUMIFS(Payments!$H:$H,Payments!$L:$L,"="&amp;$B8,Payments!$Q:$Q,"&gt;="&amp;H$4,Payments!$Q:$Q,"&lt;"&amp;EDATE(H$4,1)))</f>
        <v/>
      </c>
      <c r="I8" s="116" t="str">
        <f>IF(SUMIFS(Payments!$H:$H,Payments!$L:$L,"="&amp;$B8,Payments!$Q:$Q,"&gt;="&amp;I$4,Payments!$Q:$Q,"&lt;"&amp;EDATE(I$4,1))=0,"",
SUMIFS(Payments!$H:$H,Payments!$L:$L,"="&amp;$B8,Payments!$Q:$Q,"&gt;="&amp;I$4,Payments!$Q:$Q,"&lt;"&amp;EDATE(I$4,1)))</f>
        <v/>
      </c>
      <c r="J8" s="116" t="str">
        <f>IF(SUMIFS(Payments!$H:$H,Payments!$L:$L,"="&amp;$B8,Payments!$Q:$Q,"&gt;="&amp;J$4,Payments!$Q:$Q,"&lt;"&amp;EDATE(J$4,1))=0,"",
SUMIFS(Payments!$H:$H,Payments!$L:$L,"="&amp;$B8,Payments!$Q:$Q,"&gt;="&amp;J$4,Payments!$Q:$Q,"&lt;"&amp;EDATE(J$4,1)))</f>
        <v/>
      </c>
      <c r="K8" s="116" t="str">
        <f>IF(SUMIFS(Payments!$H:$H,Payments!$L:$L,"="&amp;$B8,Payments!$Q:$Q,"&gt;="&amp;K$4,Payments!$Q:$Q,"&lt;"&amp;EDATE(K$4,1))=0,"",
SUMIFS(Payments!$H:$H,Payments!$L:$L,"="&amp;$B8,Payments!$Q:$Q,"&gt;="&amp;K$4,Payments!$Q:$Q,"&lt;"&amp;EDATE(K$4,1)))</f>
        <v/>
      </c>
      <c r="L8" s="116" t="str">
        <f>IF(SUMIFS(Payments!$H:$H,Payments!$L:$L,"="&amp;$B8,Payments!$Q:$Q,"&gt;="&amp;L$4,Payments!$Q:$Q,"&lt;"&amp;EDATE(L$4,1))=0,"",
SUMIFS(Payments!$H:$H,Payments!$L:$L,"="&amp;$B8,Payments!$Q:$Q,"&gt;="&amp;L$4,Payments!$Q:$Q,"&lt;"&amp;EDATE(L$4,1)))</f>
        <v/>
      </c>
      <c r="M8" s="116" t="str">
        <f>IF(SUMIFS(Payments!$H:$H,Payments!$L:$L,"="&amp;$B8,Payments!$Q:$Q,"&gt;="&amp;M$4,Payments!$Q:$Q,"&lt;"&amp;EDATE(M$4,1))=0,"",
SUMIFS(Payments!$H:$H,Payments!$L:$L,"="&amp;$B8,Payments!$Q:$Q,"&gt;="&amp;M$4,Payments!$Q:$Q,"&lt;"&amp;EDATE(M$4,1)))</f>
        <v/>
      </c>
      <c r="N8" s="116" t="str">
        <f>IF(SUMIFS(Payments!$H:$H,Payments!$L:$L,"="&amp;$B8,Payments!$Q:$Q,"&gt;="&amp;N$4,Payments!$Q:$Q,"&lt;"&amp;EDATE(N$4,1))=0,"",
SUMIFS(Payments!$H:$H,Payments!$L:$L,"="&amp;$B8,Payments!$Q:$Q,"&gt;="&amp;N$4,Payments!$Q:$Q,"&lt;"&amp;EDATE(N$4,1)))</f>
        <v/>
      </c>
      <c r="O8" s="116">
        <f t="shared" si="2"/>
        <v>2496.52</v>
      </c>
      <c r="P8" s="116">
        <f>SUMIFS(Payments!$H:$H,Payments!$L:L,"="&amp;$B8,Payments!$Q:$Q,"="&amp;"")</f>
        <v>0</v>
      </c>
      <c r="Q8" s="116">
        <f t="shared" si="3"/>
        <v>2496.52</v>
      </c>
      <c r="R8" s="116">
        <f>VLOOKUP(B8,SETUP!H:K,4,FALSE)</f>
        <v>16000</v>
      </c>
      <c r="S8" s="116">
        <f t="shared" si="4"/>
        <v>13503.48</v>
      </c>
      <c r="T8" s="163">
        <f t="shared" si="5"/>
        <v>6.3075784575371885E-2</v>
      </c>
      <c r="U8" s="163">
        <f>IF(Q8=0,0,IF(AGAR!E$8=0,"No precept",Q8/AGAR!E$8))</f>
        <v>1.6032829628868494E-2</v>
      </c>
    </row>
    <row r="9" spans="2:23" x14ac:dyDescent="0.3">
      <c r="B9" s="175" t="str">
        <f>SETUP!H7</f>
        <v>Park Warden Salary (net)</v>
      </c>
      <c r="C9" s="116">
        <f>IF(SUMIFS(Payments!$H:$H,Payments!$L:$L,"="&amp;$B9,Payments!$Q:$Q,"&gt;="&amp;C$4,Payments!$Q:$Q,"&lt;"&amp;EDATE(C$4,1))=0,"",
SUMIFS(Payments!$H:$H,Payments!$L:$L,"="&amp;$B9,Payments!$Q:$Q,"&gt;="&amp;C$4,Payments!$Q:$Q,"&lt;"&amp;EDATE(C$4,1)))</f>
        <v>629.52</v>
      </c>
      <c r="D9" s="116">
        <f>IF(SUMIFS(Payments!$H:$H,Payments!$L:$L,"="&amp;$B9,Payments!$Q:$Q,"&gt;="&amp;D$4,Payments!$Q:$Q,"&lt;"&amp;EDATE(D$4,1))=0,"",
SUMIFS(Payments!$H:$H,Payments!$L:$L,"="&amp;$B9,Payments!$Q:$Q,"&gt;="&amp;D$4,Payments!$Q:$Q,"&lt;"&amp;EDATE(D$4,1)))</f>
        <v>629.32000000000005</v>
      </c>
      <c r="E9" s="116" t="str">
        <f>IF(SUMIFS(Payments!$H:$H,Payments!$L:$L,"="&amp;$B9,Payments!$Q:$Q,"&gt;="&amp;E$4,Payments!$Q:$Q,"&lt;"&amp;EDATE(E$4,1))=0,"",
SUMIFS(Payments!$H:$H,Payments!$L:$L,"="&amp;$B9,Payments!$Q:$Q,"&gt;="&amp;E$4,Payments!$Q:$Q,"&lt;"&amp;EDATE(E$4,1)))</f>
        <v/>
      </c>
      <c r="F9" s="116" t="str">
        <f>IF(SUMIFS(Payments!$H:$H,Payments!$L:$L,"="&amp;$B9,Payments!$Q:$Q,"&gt;="&amp;F$4,Payments!$Q:$Q,"&lt;"&amp;EDATE(F$4,1))=0,"",
SUMIFS(Payments!$H:$H,Payments!$L:$L,"="&amp;$B9,Payments!$Q:$Q,"&gt;="&amp;F$4,Payments!$Q:$Q,"&lt;"&amp;EDATE(F$4,1)))</f>
        <v/>
      </c>
      <c r="G9" s="116" t="str">
        <f>IF(SUMIFS(Payments!$H:$H,Payments!$L:$L,"="&amp;$B9,Payments!$Q:$Q,"&gt;="&amp;G$4,Payments!$Q:$Q,"&lt;"&amp;EDATE(G$4,1))=0,"",
SUMIFS(Payments!$H:$H,Payments!$L:$L,"="&amp;$B9,Payments!$Q:$Q,"&gt;="&amp;G$4,Payments!$Q:$Q,"&lt;"&amp;EDATE(G$4,1)))</f>
        <v/>
      </c>
      <c r="H9" s="116" t="str">
        <f>IF(SUMIFS(Payments!$H:$H,Payments!$L:$L,"="&amp;$B9,Payments!$Q:$Q,"&gt;="&amp;H$4,Payments!$Q:$Q,"&lt;"&amp;EDATE(H$4,1))=0,"",
SUMIFS(Payments!$H:$H,Payments!$L:$L,"="&amp;$B9,Payments!$Q:$Q,"&gt;="&amp;H$4,Payments!$Q:$Q,"&lt;"&amp;EDATE(H$4,1)))</f>
        <v/>
      </c>
      <c r="I9" s="116" t="str">
        <f>IF(SUMIFS(Payments!$H:$H,Payments!$L:$L,"="&amp;$B9,Payments!$Q:$Q,"&gt;="&amp;I$4,Payments!$Q:$Q,"&lt;"&amp;EDATE(I$4,1))=0,"",
SUMIFS(Payments!$H:$H,Payments!$L:$L,"="&amp;$B9,Payments!$Q:$Q,"&gt;="&amp;I$4,Payments!$Q:$Q,"&lt;"&amp;EDATE(I$4,1)))</f>
        <v/>
      </c>
      <c r="J9" s="116" t="str">
        <f>IF(SUMIFS(Payments!$H:$H,Payments!$L:$L,"="&amp;$B9,Payments!$Q:$Q,"&gt;="&amp;J$4,Payments!$Q:$Q,"&lt;"&amp;EDATE(J$4,1))=0,"",
SUMIFS(Payments!$H:$H,Payments!$L:$L,"="&amp;$B9,Payments!$Q:$Q,"&gt;="&amp;J$4,Payments!$Q:$Q,"&lt;"&amp;EDATE(J$4,1)))</f>
        <v/>
      </c>
      <c r="K9" s="116" t="str">
        <f>IF(SUMIFS(Payments!$H:$H,Payments!$L:$L,"="&amp;$B9,Payments!$Q:$Q,"&gt;="&amp;K$4,Payments!$Q:$Q,"&lt;"&amp;EDATE(K$4,1))=0,"",
SUMIFS(Payments!$H:$H,Payments!$L:$L,"="&amp;$B9,Payments!$Q:$Q,"&gt;="&amp;K$4,Payments!$Q:$Q,"&lt;"&amp;EDATE(K$4,1)))</f>
        <v/>
      </c>
      <c r="L9" s="116" t="str">
        <f>IF(SUMIFS(Payments!$H:$H,Payments!$L:$L,"="&amp;$B9,Payments!$Q:$Q,"&gt;="&amp;L$4,Payments!$Q:$Q,"&lt;"&amp;EDATE(L$4,1))=0,"",
SUMIFS(Payments!$H:$H,Payments!$L:$L,"="&amp;$B9,Payments!$Q:$Q,"&gt;="&amp;L$4,Payments!$Q:$Q,"&lt;"&amp;EDATE(L$4,1)))</f>
        <v/>
      </c>
      <c r="M9" s="116" t="str">
        <f>IF(SUMIFS(Payments!$H:$H,Payments!$L:$L,"="&amp;$B9,Payments!$Q:$Q,"&gt;="&amp;M$4,Payments!$Q:$Q,"&lt;"&amp;EDATE(M$4,1))=0,"",
SUMIFS(Payments!$H:$H,Payments!$L:$L,"="&amp;$B9,Payments!$Q:$Q,"&gt;="&amp;M$4,Payments!$Q:$Q,"&lt;"&amp;EDATE(M$4,1)))</f>
        <v/>
      </c>
      <c r="N9" s="116" t="str">
        <f>IF(SUMIFS(Payments!$H:$H,Payments!$L:$L,"="&amp;$B9,Payments!$Q:$Q,"&gt;="&amp;N$4,Payments!$Q:$Q,"&lt;"&amp;EDATE(N$4,1))=0,"",
SUMIFS(Payments!$H:$H,Payments!$L:$L,"="&amp;$B9,Payments!$Q:$Q,"&gt;="&amp;N$4,Payments!$Q:$Q,"&lt;"&amp;EDATE(N$4,1)))</f>
        <v/>
      </c>
      <c r="O9" s="116">
        <f t="shared" si="2"/>
        <v>1258.8400000000001</v>
      </c>
      <c r="P9" s="116">
        <f>SUMIFS(Payments!$H:$H,Payments!$L:L,"="&amp;$B9,Payments!$Q:$Q,"="&amp;"")</f>
        <v>0</v>
      </c>
      <c r="Q9" s="116">
        <f t="shared" si="3"/>
        <v>1258.8400000000001</v>
      </c>
      <c r="R9" s="116">
        <f>VLOOKUP(B9,SETUP!H:K,4,FALSE)</f>
        <v>7400</v>
      </c>
      <c r="S9" s="116">
        <f t="shared" si="4"/>
        <v>6141.16</v>
      </c>
      <c r="T9" s="163">
        <f t="shared" si="5"/>
        <v>3.1805201101878275E-2</v>
      </c>
      <c r="U9" s="163">
        <f>IF(Q9=0,0,IF(AGAR!E$8=0,"No precept",Q9/AGAR!E$8))</f>
        <v>8.0843603295807035E-3</v>
      </c>
    </row>
    <row r="10" spans="2:23" x14ac:dyDescent="0.3">
      <c r="B10" s="175" t="str">
        <f>SETUP!H8</f>
        <v>Village Orderly Salary (net)</v>
      </c>
      <c r="C10" s="116">
        <f>IF(SUMIFS(Payments!$H:$H,Payments!$L:$L,"="&amp;$B10,Payments!$Q:$Q,"&gt;="&amp;C$4,Payments!$Q:$Q,"&lt;"&amp;EDATE(C$4,1))=0,"",
SUMIFS(Payments!$H:$H,Payments!$L:$L,"="&amp;$B10,Payments!$Q:$Q,"&gt;="&amp;C$4,Payments!$Q:$Q,"&lt;"&amp;EDATE(C$4,1)))</f>
        <v>542.16999999999996</v>
      </c>
      <c r="D10" s="116">
        <f>IF(SUMIFS(Payments!$H:$H,Payments!$L:$L,"="&amp;$B10,Payments!$Q:$Q,"&gt;="&amp;D$4,Payments!$Q:$Q,"&lt;"&amp;EDATE(D$4,1))=0,"",
SUMIFS(Payments!$H:$H,Payments!$L:$L,"="&amp;$B10,Payments!$Q:$Q,"&gt;="&amp;D$4,Payments!$Q:$Q,"&lt;"&amp;EDATE(D$4,1)))</f>
        <v>541.37</v>
      </c>
      <c r="E10" s="116" t="str">
        <f>IF(SUMIFS(Payments!$H:$H,Payments!$L:$L,"="&amp;$B10,Payments!$Q:$Q,"&gt;="&amp;E$4,Payments!$Q:$Q,"&lt;"&amp;EDATE(E$4,1))=0,"",
SUMIFS(Payments!$H:$H,Payments!$L:$L,"="&amp;$B10,Payments!$Q:$Q,"&gt;="&amp;E$4,Payments!$Q:$Q,"&lt;"&amp;EDATE(E$4,1)))</f>
        <v/>
      </c>
      <c r="F10" s="116" t="str">
        <f>IF(SUMIFS(Payments!$H:$H,Payments!$L:$L,"="&amp;$B10,Payments!$Q:$Q,"&gt;="&amp;F$4,Payments!$Q:$Q,"&lt;"&amp;EDATE(F$4,1))=0,"",
SUMIFS(Payments!$H:$H,Payments!$L:$L,"="&amp;$B10,Payments!$Q:$Q,"&gt;="&amp;F$4,Payments!$Q:$Q,"&lt;"&amp;EDATE(F$4,1)))</f>
        <v/>
      </c>
      <c r="G10" s="116" t="str">
        <f>IF(SUMIFS(Payments!$H:$H,Payments!$L:$L,"="&amp;$B10,Payments!$Q:$Q,"&gt;="&amp;G$4,Payments!$Q:$Q,"&lt;"&amp;EDATE(G$4,1))=0,"",
SUMIFS(Payments!$H:$H,Payments!$L:$L,"="&amp;$B10,Payments!$Q:$Q,"&gt;="&amp;G$4,Payments!$Q:$Q,"&lt;"&amp;EDATE(G$4,1)))</f>
        <v/>
      </c>
      <c r="H10" s="116" t="str">
        <f>IF(SUMIFS(Payments!$H:$H,Payments!$L:$L,"="&amp;$B10,Payments!$Q:$Q,"&gt;="&amp;H$4,Payments!$Q:$Q,"&lt;"&amp;EDATE(H$4,1))=0,"",
SUMIFS(Payments!$H:$H,Payments!$L:$L,"="&amp;$B10,Payments!$Q:$Q,"&gt;="&amp;H$4,Payments!$Q:$Q,"&lt;"&amp;EDATE(H$4,1)))</f>
        <v/>
      </c>
      <c r="I10" s="116" t="str">
        <f>IF(SUMIFS(Payments!$H:$H,Payments!$L:$L,"="&amp;$B10,Payments!$Q:$Q,"&gt;="&amp;I$4,Payments!$Q:$Q,"&lt;"&amp;EDATE(I$4,1))=0,"",
SUMIFS(Payments!$H:$H,Payments!$L:$L,"="&amp;$B10,Payments!$Q:$Q,"&gt;="&amp;I$4,Payments!$Q:$Q,"&lt;"&amp;EDATE(I$4,1)))</f>
        <v/>
      </c>
      <c r="J10" s="116" t="str">
        <f>IF(SUMIFS(Payments!$H:$H,Payments!$L:$L,"="&amp;$B10,Payments!$Q:$Q,"&gt;="&amp;J$4,Payments!$Q:$Q,"&lt;"&amp;EDATE(J$4,1))=0,"",
SUMIFS(Payments!$H:$H,Payments!$L:$L,"="&amp;$B10,Payments!$Q:$Q,"&gt;="&amp;J$4,Payments!$Q:$Q,"&lt;"&amp;EDATE(J$4,1)))</f>
        <v/>
      </c>
      <c r="K10" s="116" t="str">
        <f>IF(SUMIFS(Payments!$H:$H,Payments!$L:$L,"="&amp;$B10,Payments!$Q:$Q,"&gt;="&amp;K$4,Payments!$Q:$Q,"&lt;"&amp;EDATE(K$4,1))=0,"",
SUMIFS(Payments!$H:$H,Payments!$L:$L,"="&amp;$B10,Payments!$Q:$Q,"&gt;="&amp;K$4,Payments!$Q:$Q,"&lt;"&amp;EDATE(K$4,1)))</f>
        <v/>
      </c>
      <c r="L10" s="116" t="str">
        <f>IF(SUMIFS(Payments!$H:$H,Payments!$L:$L,"="&amp;$B10,Payments!$Q:$Q,"&gt;="&amp;L$4,Payments!$Q:$Q,"&lt;"&amp;EDATE(L$4,1))=0,"",
SUMIFS(Payments!$H:$H,Payments!$L:$L,"="&amp;$B10,Payments!$Q:$Q,"&gt;="&amp;L$4,Payments!$Q:$Q,"&lt;"&amp;EDATE(L$4,1)))</f>
        <v/>
      </c>
      <c r="M10" s="116" t="str">
        <f>IF(SUMIFS(Payments!$H:$H,Payments!$L:$L,"="&amp;$B10,Payments!$Q:$Q,"&gt;="&amp;M$4,Payments!$Q:$Q,"&lt;"&amp;EDATE(M$4,1))=0,"",
SUMIFS(Payments!$H:$H,Payments!$L:$L,"="&amp;$B10,Payments!$Q:$Q,"&gt;="&amp;M$4,Payments!$Q:$Q,"&lt;"&amp;EDATE(M$4,1)))</f>
        <v/>
      </c>
      <c r="N10" s="116" t="str">
        <f>IF(SUMIFS(Payments!$H:$H,Payments!$L:$L,"="&amp;$B10,Payments!$Q:$Q,"&gt;="&amp;N$4,Payments!$Q:$Q,"&lt;"&amp;EDATE(N$4,1))=0,"",
SUMIFS(Payments!$H:$H,Payments!$L:$L,"="&amp;$B10,Payments!$Q:$Q,"&gt;="&amp;N$4,Payments!$Q:$Q,"&lt;"&amp;EDATE(N$4,1)))</f>
        <v/>
      </c>
      <c r="O10" s="116">
        <f t="shared" ref="O10" si="6">SUM(C10:N10)</f>
        <v>1083.54</v>
      </c>
      <c r="P10" s="116">
        <f>SUMIFS(Payments!$H:$H,Payments!$L:L,"="&amp;$B10,Payments!$Q:$Q,"="&amp;"")</f>
        <v>0</v>
      </c>
      <c r="Q10" s="116">
        <f t="shared" ref="Q10" si="7">SUM(O10:P10)</f>
        <v>1083.54</v>
      </c>
      <c r="R10" s="116">
        <f>VLOOKUP(B10,SETUP!H:K,4,FALSE)</f>
        <v>6400</v>
      </c>
      <c r="S10" s="116">
        <f t="shared" ref="S10" si="8">R10-Q10</f>
        <v>5316.46</v>
      </c>
      <c r="T10" s="163">
        <f t="shared" si="5"/>
        <v>2.7376161864835231E-2</v>
      </c>
      <c r="U10" s="163">
        <f>IF(Q10=0,0,IF(AGAR!E$8=0,"No precept",Q10/AGAR!E$8))</f>
        <v>6.9585712175605115E-3</v>
      </c>
    </row>
    <row r="11" spans="2:23" x14ac:dyDescent="0.3">
      <c r="B11" s="175" t="str">
        <f>SETUP!H9</f>
        <v>LGA Pension</v>
      </c>
      <c r="C11" s="116">
        <f>IF(SUMIFS(Payments!$H:$H,Payments!$L:$L,"="&amp;$B11,Payments!$Q:$Q,"&gt;="&amp;C$4,Payments!$Q:$Q,"&lt;"&amp;EDATE(C$4,1))=0,"",
SUMIFS(Payments!$H:$H,Payments!$L:$L,"="&amp;$B11,Payments!$Q:$Q,"&gt;="&amp;C$4,Payments!$Q:$Q,"&lt;"&amp;EDATE(C$4,1)))</f>
        <v>1256.28</v>
      </c>
      <c r="D11" s="116">
        <f>IF(SUMIFS(Payments!$H:$H,Payments!$L:$L,"="&amp;$B11,Payments!$Q:$Q,"&gt;="&amp;D$4,Payments!$Q:$Q,"&lt;"&amp;EDATE(D$4,1))=0,"",
SUMIFS(Payments!$H:$H,Payments!$L:$L,"="&amp;$B11,Payments!$Q:$Q,"&gt;="&amp;D$4,Payments!$Q:$Q,"&lt;"&amp;EDATE(D$4,1)))</f>
        <v>1256.28</v>
      </c>
      <c r="E11" s="116" t="str">
        <f>IF(SUMIFS(Payments!$H:$H,Payments!$L:$L,"="&amp;$B11,Payments!$Q:$Q,"&gt;="&amp;E$4,Payments!$Q:$Q,"&lt;"&amp;EDATE(E$4,1))=0,"",
SUMIFS(Payments!$H:$H,Payments!$L:$L,"="&amp;$B11,Payments!$Q:$Q,"&gt;="&amp;E$4,Payments!$Q:$Q,"&lt;"&amp;EDATE(E$4,1)))</f>
        <v/>
      </c>
      <c r="F11" s="116" t="str">
        <f>IF(SUMIFS(Payments!$H:$H,Payments!$L:$L,"="&amp;$B11,Payments!$Q:$Q,"&gt;="&amp;F$4,Payments!$Q:$Q,"&lt;"&amp;EDATE(F$4,1))=0,"",
SUMIFS(Payments!$H:$H,Payments!$L:$L,"="&amp;$B11,Payments!$Q:$Q,"&gt;="&amp;F$4,Payments!$Q:$Q,"&lt;"&amp;EDATE(F$4,1)))</f>
        <v/>
      </c>
      <c r="G11" s="116" t="str">
        <f>IF(SUMIFS(Payments!$H:$H,Payments!$L:$L,"="&amp;$B11,Payments!$Q:$Q,"&gt;="&amp;G$4,Payments!$Q:$Q,"&lt;"&amp;EDATE(G$4,1))=0,"",
SUMIFS(Payments!$H:$H,Payments!$L:$L,"="&amp;$B11,Payments!$Q:$Q,"&gt;="&amp;G$4,Payments!$Q:$Q,"&lt;"&amp;EDATE(G$4,1)))</f>
        <v/>
      </c>
      <c r="H11" s="116" t="str">
        <f>IF(SUMIFS(Payments!$H:$H,Payments!$L:$L,"="&amp;$B11,Payments!$Q:$Q,"&gt;="&amp;H$4,Payments!$Q:$Q,"&lt;"&amp;EDATE(H$4,1))=0,"",
SUMIFS(Payments!$H:$H,Payments!$L:$L,"="&amp;$B11,Payments!$Q:$Q,"&gt;="&amp;H$4,Payments!$Q:$Q,"&lt;"&amp;EDATE(H$4,1)))</f>
        <v/>
      </c>
      <c r="I11" s="116" t="str">
        <f>IF(SUMIFS(Payments!$H:$H,Payments!$L:$L,"="&amp;$B11,Payments!$Q:$Q,"&gt;="&amp;I$4,Payments!$Q:$Q,"&lt;"&amp;EDATE(I$4,1))=0,"",
SUMIFS(Payments!$H:$H,Payments!$L:$L,"="&amp;$B11,Payments!$Q:$Q,"&gt;="&amp;I$4,Payments!$Q:$Q,"&lt;"&amp;EDATE(I$4,1)))</f>
        <v/>
      </c>
      <c r="J11" s="116" t="str">
        <f>IF(SUMIFS(Payments!$H:$H,Payments!$L:$L,"="&amp;$B11,Payments!$Q:$Q,"&gt;="&amp;J$4,Payments!$Q:$Q,"&lt;"&amp;EDATE(J$4,1))=0,"",
SUMIFS(Payments!$H:$H,Payments!$L:$L,"="&amp;$B11,Payments!$Q:$Q,"&gt;="&amp;J$4,Payments!$Q:$Q,"&lt;"&amp;EDATE(J$4,1)))</f>
        <v/>
      </c>
      <c r="K11" s="116" t="str">
        <f>IF(SUMIFS(Payments!$H:$H,Payments!$L:$L,"="&amp;$B11,Payments!$Q:$Q,"&gt;="&amp;K$4,Payments!$Q:$Q,"&lt;"&amp;EDATE(K$4,1))=0,"",
SUMIFS(Payments!$H:$H,Payments!$L:$L,"="&amp;$B11,Payments!$Q:$Q,"&gt;="&amp;K$4,Payments!$Q:$Q,"&lt;"&amp;EDATE(K$4,1)))</f>
        <v/>
      </c>
      <c r="L11" s="116" t="str">
        <f>IF(SUMIFS(Payments!$H:$H,Payments!$L:$L,"="&amp;$B11,Payments!$Q:$Q,"&gt;="&amp;L$4,Payments!$Q:$Q,"&lt;"&amp;EDATE(L$4,1))=0,"",
SUMIFS(Payments!$H:$H,Payments!$L:$L,"="&amp;$B11,Payments!$Q:$Q,"&gt;="&amp;L$4,Payments!$Q:$Q,"&lt;"&amp;EDATE(L$4,1)))</f>
        <v/>
      </c>
      <c r="M11" s="116" t="str">
        <f>IF(SUMIFS(Payments!$H:$H,Payments!$L:$L,"="&amp;$B11,Payments!$Q:$Q,"&gt;="&amp;M$4,Payments!$Q:$Q,"&lt;"&amp;EDATE(M$4,1))=0,"",
SUMIFS(Payments!$H:$H,Payments!$L:$L,"="&amp;$B11,Payments!$Q:$Q,"&gt;="&amp;M$4,Payments!$Q:$Q,"&lt;"&amp;EDATE(M$4,1)))</f>
        <v/>
      </c>
      <c r="N11" s="116" t="str">
        <f>IF(SUMIFS(Payments!$H:$H,Payments!$L:$L,"="&amp;$B11,Payments!$Q:$Q,"&gt;="&amp;N$4,Payments!$Q:$Q,"&lt;"&amp;EDATE(N$4,1))=0,"",
SUMIFS(Payments!$H:$H,Payments!$L:$L,"="&amp;$B11,Payments!$Q:$Q,"&gt;="&amp;N$4,Payments!$Q:$Q,"&lt;"&amp;EDATE(N$4,1)))</f>
        <v/>
      </c>
      <c r="O11" s="116">
        <f t="shared" si="2"/>
        <v>2512.56</v>
      </c>
      <c r="P11" s="116">
        <f>SUMIFS(Payments!$H:$H,Payments!$L:L,"="&amp;$B11,Payments!$Q:$Q,"="&amp;"")</f>
        <v>0</v>
      </c>
      <c r="Q11" s="116">
        <f t="shared" si="3"/>
        <v>2512.56</v>
      </c>
      <c r="R11" s="116">
        <f>VLOOKUP(B11,SETUP!H:K,4,FALSE)</f>
        <v>18500</v>
      </c>
      <c r="S11" s="116">
        <f t="shared" si="4"/>
        <v>15987.44</v>
      </c>
      <c r="T11" s="163">
        <f t="shared" si="5"/>
        <v>6.3481042928835496E-2</v>
      </c>
      <c r="U11" s="163">
        <f>IF(Q11=0,0,IF(AGAR!E$8=0,"No precept",Q11/AGAR!E$8))</f>
        <v>1.6135839653721912E-2</v>
      </c>
    </row>
    <row r="12" spans="2:23" x14ac:dyDescent="0.3">
      <c r="B12" s="175" t="str">
        <f>SETUP!H10</f>
        <v>PAYE/NI</v>
      </c>
      <c r="C12" s="116">
        <f>IF(SUMIFS(Payments!$H:$H,Payments!$L:$L,"="&amp;$B12,Payments!$Q:$Q,"&gt;="&amp;C$4,Payments!$Q:$Q,"&lt;"&amp;EDATE(C$4,1))=0,"",
SUMIFS(Payments!$H:$H,Payments!$L:$L,"="&amp;$B12,Payments!$Q:$Q,"&gt;="&amp;C$4,Payments!$Q:$Q,"&lt;"&amp;EDATE(C$4,1)))</f>
        <v>1348.22</v>
      </c>
      <c r="D12" s="116">
        <f>IF(SUMIFS(Payments!$H:$H,Payments!$L:$L,"="&amp;$B12,Payments!$Q:$Q,"&gt;="&amp;D$4,Payments!$Q:$Q,"&lt;"&amp;EDATE(D$4,1))=0,"",
SUMIFS(Payments!$H:$H,Payments!$L:$L,"="&amp;$B12,Payments!$Q:$Q,"&gt;="&amp;D$4,Payments!$Q:$Q,"&lt;"&amp;EDATE(D$4,1)))</f>
        <v>1349.42</v>
      </c>
      <c r="E12" s="116" t="str">
        <f>IF(SUMIFS(Payments!$H:$H,Payments!$L:$L,"="&amp;$B12,Payments!$Q:$Q,"&gt;="&amp;E$4,Payments!$Q:$Q,"&lt;"&amp;EDATE(E$4,1))=0,"",
SUMIFS(Payments!$H:$H,Payments!$L:$L,"="&amp;$B12,Payments!$Q:$Q,"&gt;="&amp;E$4,Payments!$Q:$Q,"&lt;"&amp;EDATE(E$4,1)))</f>
        <v/>
      </c>
      <c r="F12" s="116" t="str">
        <f>IF(SUMIFS(Payments!$H:$H,Payments!$L:$L,"="&amp;$B12,Payments!$Q:$Q,"&gt;="&amp;F$4,Payments!$Q:$Q,"&lt;"&amp;EDATE(F$4,1))=0,"",
SUMIFS(Payments!$H:$H,Payments!$L:$L,"="&amp;$B12,Payments!$Q:$Q,"&gt;="&amp;F$4,Payments!$Q:$Q,"&lt;"&amp;EDATE(F$4,1)))</f>
        <v/>
      </c>
      <c r="G12" s="116" t="str">
        <f>IF(SUMIFS(Payments!$H:$H,Payments!$L:$L,"="&amp;$B12,Payments!$Q:$Q,"&gt;="&amp;G$4,Payments!$Q:$Q,"&lt;"&amp;EDATE(G$4,1))=0,"",
SUMIFS(Payments!$H:$H,Payments!$L:$L,"="&amp;$B12,Payments!$Q:$Q,"&gt;="&amp;G$4,Payments!$Q:$Q,"&lt;"&amp;EDATE(G$4,1)))</f>
        <v/>
      </c>
      <c r="H12" s="116" t="str">
        <f>IF(SUMIFS(Payments!$H:$H,Payments!$L:$L,"="&amp;$B12,Payments!$Q:$Q,"&gt;="&amp;H$4,Payments!$Q:$Q,"&lt;"&amp;EDATE(H$4,1))=0,"",
SUMIFS(Payments!$H:$H,Payments!$L:$L,"="&amp;$B12,Payments!$Q:$Q,"&gt;="&amp;H$4,Payments!$Q:$Q,"&lt;"&amp;EDATE(H$4,1)))</f>
        <v/>
      </c>
      <c r="I12" s="116" t="str">
        <f>IF(SUMIFS(Payments!$H:$H,Payments!$L:$L,"="&amp;$B12,Payments!$Q:$Q,"&gt;="&amp;I$4,Payments!$Q:$Q,"&lt;"&amp;EDATE(I$4,1))=0,"",
SUMIFS(Payments!$H:$H,Payments!$L:$L,"="&amp;$B12,Payments!$Q:$Q,"&gt;="&amp;I$4,Payments!$Q:$Q,"&lt;"&amp;EDATE(I$4,1)))</f>
        <v/>
      </c>
      <c r="J12" s="116" t="str">
        <f>IF(SUMIFS(Payments!$H:$H,Payments!$L:$L,"="&amp;$B12,Payments!$Q:$Q,"&gt;="&amp;J$4,Payments!$Q:$Q,"&lt;"&amp;EDATE(J$4,1))=0,"",
SUMIFS(Payments!$H:$H,Payments!$L:$L,"="&amp;$B12,Payments!$Q:$Q,"&gt;="&amp;J$4,Payments!$Q:$Q,"&lt;"&amp;EDATE(J$4,1)))</f>
        <v/>
      </c>
      <c r="K12" s="116" t="str">
        <f>IF(SUMIFS(Payments!$H:$H,Payments!$L:$L,"="&amp;$B12,Payments!$Q:$Q,"&gt;="&amp;K$4,Payments!$Q:$Q,"&lt;"&amp;EDATE(K$4,1))=0,"",
SUMIFS(Payments!$H:$H,Payments!$L:$L,"="&amp;$B12,Payments!$Q:$Q,"&gt;="&amp;K$4,Payments!$Q:$Q,"&lt;"&amp;EDATE(K$4,1)))</f>
        <v/>
      </c>
      <c r="L12" s="116" t="str">
        <f>IF(SUMIFS(Payments!$H:$H,Payments!$L:$L,"="&amp;$B12,Payments!$Q:$Q,"&gt;="&amp;L$4,Payments!$Q:$Q,"&lt;"&amp;EDATE(L$4,1))=0,"",
SUMIFS(Payments!$H:$H,Payments!$L:$L,"="&amp;$B12,Payments!$Q:$Q,"&gt;="&amp;L$4,Payments!$Q:$Q,"&lt;"&amp;EDATE(L$4,1)))</f>
        <v/>
      </c>
      <c r="M12" s="116" t="str">
        <f>IF(SUMIFS(Payments!$H:$H,Payments!$L:$L,"="&amp;$B12,Payments!$Q:$Q,"&gt;="&amp;M$4,Payments!$Q:$Q,"&lt;"&amp;EDATE(M$4,1))=0,"",
SUMIFS(Payments!$H:$H,Payments!$L:$L,"="&amp;$B12,Payments!$Q:$Q,"&gt;="&amp;M$4,Payments!$Q:$Q,"&lt;"&amp;EDATE(M$4,1)))</f>
        <v/>
      </c>
      <c r="N12" s="116" t="str">
        <f>IF(SUMIFS(Payments!$H:$H,Payments!$L:$L,"="&amp;$B12,Payments!$Q:$Q,"&gt;="&amp;N$4,Payments!$Q:$Q,"&lt;"&amp;EDATE(N$4,1))=0,"",
SUMIFS(Payments!$H:$H,Payments!$L:$L,"="&amp;$B12,Payments!$Q:$Q,"&gt;="&amp;N$4,Payments!$Q:$Q,"&lt;"&amp;EDATE(N$4,1)))</f>
        <v/>
      </c>
      <c r="O12" s="116">
        <f t="shared" si="2"/>
        <v>2697.6400000000003</v>
      </c>
      <c r="P12" s="116">
        <f>SUMIFS(Payments!$H:$H,Payments!$L:L,"="&amp;$B12,Payments!$Q:$Q,"="&amp;"")</f>
        <v>0</v>
      </c>
      <c r="Q12" s="116">
        <f t="shared" si="3"/>
        <v>2697.6400000000003</v>
      </c>
      <c r="R12" s="116">
        <f>VLOOKUP(B12,SETUP!H:K,4,FALSE)</f>
        <v>15000</v>
      </c>
      <c r="S12" s="116">
        <f t="shared" si="4"/>
        <v>12302.36</v>
      </c>
      <c r="T12" s="163">
        <f t="shared" si="5"/>
        <v>6.8157178593364454E-2</v>
      </c>
      <c r="U12" s="163">
        <f>IF(Q12=0,0,IF(AGAR!E$8=0,"No precept",Q12/AGAR!E$8))</f>
        <v>1.7324436623788637E-2</v>
      </c>
    </row>
    <row r="13" spans="2:23" x14ac:dyDescent="0.3">
      <c r="B13" s="175" t="str">
        <f>SETUP!H11</f>
        <v>Payroll services</v>
      </c>
      <c r="C13" s="116" t="str">
        <f>IF(SUMIFS(Payments!$H:$H,Payments!$L:$L,"="&amp;$B13,Payments!$Q:$Q,"&gt;="&amp;C$4,Payments!$Q:$Q,"&lt;"&amp;EDATE(C$4,1))=0,"",
SUMIFS(Payments!$H:$H,Payments!$L:$L,"="&amp;$B13,Payments!$Q:$Q,"&gt;="&amp;C$4,Payments!$Q:$Q,"&lt;"&amp;EDATE(C$4,1)))</f>
        <v/>
      </c>
      <c r="D13" s="116" t="str">
        <f>IF(SUMIFS(Payments!$H:$H,Payments!$L:$L,"="&amp;$B13,Payments!$Q:$Q,"&gt;="&amp;D$4,Payments!$Q:$Q,"&lt;"&amp;EDATE(D$4,1))=0,"",
SUMIFS(Payments!$H:$H,Payments!$L:$L,"="&amp;$B13,Payments!$Q:$Q,"&gt;="&amp;D$4,Payments!$Q:$Q,"&lt;"&amp;EDATE(D$4,1)))</f>
        <v/>
      </c>
      <c r="E13" s="116" t="str">
        <f>IF(SUMIFS(Payments!$H:$H,Payments!$L:$L,"="&amp;$B13,Payments!$Q:$Q,"&gt;="&amp;E$4,Payments!$Q:$Q,"&lt;"&amp;EDATE(E$4,1))=0,"",
SUMIFS(Payments!$H:$H,Payments!$L:$L,"="&amp;$B13,Payments!$Q:$Q,"&gt;="&amp;E$4,Payments!$Q:$Q,"&lt;"&amp;EDATE(E$4,1)))</f>
        <v/>
      </c>
      <c r="F13" s="116" t="str">
        <f>IF(SUMIFS(Payments!$H:$H,Payments!$L:$L,"="&amp;$B13,Payments!$Q:$Q,"&gt;="&amp;F$4,Payments!$Q:$Q,"&lt;"&amp;EDATE(F$4,1))=0,"",
SUMIFS(Payments!$H:$H,Payments!$L:$L,"="&amp;$B13,Payments!$Q:$Q,"&gt;="&amp;F$4,Payments!$Q:$Q,"&lt;"&amp;EDATE(F$4,1)))</f>
        <v/>
      </c>
      <c r="G13" s="116" t="str">
        <f>IF(SUMIFS(Payments!$H:$H,Payments!$L:$L,"="&amp;$B13,Payments!$Q:$Q,"&gt;="&amp;G$4,Payments!$Q:$Q,"&lt;"&amp;EDATE(G$4,1))=0,"",
SUMIFS(Payments!$H:$H,Payments!$L:$L,"="&amp;$B13,Payments!$Q:$Q,"&gt;="&amp;G$4,Payments!$Q:$Q,"&lt;"&amp;EDATE(G$4,1)))</f>
        <v/>
      </c>
      <c r="H13" s="116" t="str">
        <f>IF(SUMIFS(Payments!$H:$H,Payments!$L:$L,"="&amp;$B13,Payments!$Q:$Q,"&gt;="&amp;H$4,Payments!$Q:$Q,"&lt;"&amp;EDATE(H$4,1))=0,"",
SUMIFS(Payments!$H:$H,Payments!$L:$L,"="&amp;$B13,Payments!$Q:$Q,"&gt;="&amp;H$4,Payments!$Q:$Q,"&lt;"&amp;EDATE(H$4,1)))</f>
        <v/>
      </c>
      <c r="I13" s="116" t="str">
        <f>IF(SUMIFS(Payments!$H:$H,Payments!$L:$L,"="&amp;$B13,Payments!$Q:$Q,"&gt;="&amp;I$4,Payments!$Q:$Q,"&lt;"&amp;EDATE(I$4,1))=0,"",
SUMIFS(Payments!$H:$H,Payments!$L:$L,"="&amp;$B13,Payments!$Q:$Q,"&gt;="&amp;I$4,Payments!$Q:$Q,"&lt;"&amp;EDATE(I$4,1)))</f>
        <v/>
      </c>
      <c r="J13" s="116" t="str">
        <f>IF(SUMIFS(Payments!$H:$H,Payments!$L:$L,"="&amp;$B13,Payments!$Q:$Q,"&gt;="&amp;J$4,Payments!$Q:$Q,"&lt;"&amp;EDATE(J$4,1))=0,"",
SUMIFS(Payments!$H:$H,Payments!$L:$L,"="&amp;$B13,Payments!$Q:$Q,"&gt;="&amp;J$4,Payments!$Q:$Q,"&lt;"&amp;EDATE(J$4,1)))</f>
        <v/>
      </c>
      <c r="K13" s="116" t="str">
        <f>IF(SUMIFS(Payments!$H:$H,Payments!$L:$L,"="&amp;$B13,Payments!$Q:$Q,"&gt;="&amp;K$4,Payments!$Q:$Q,"&lt;"&amp;EDATE(K$4,1))=0,"",
SUMIFS(Payments!$H:$H,Payments!$L:$L,"="&amp;$B13,Payments!$Q:$Q,"&gt;="&amp;K$4,Payments!$Q:$Q,"&lt;"&amp;EDATE(K$4,1)))</f>
        <v/>
      </c>
      <c r="L13" s="116" t="str">
        <f>IF(SUMIFS(Payments!$H:$H,Payments!$L:$L,"="&amp;$B13,Payments!$Q:$Q,"&gt;="&amp;L$4,Payments!$Q:$Q,"&lt;"&amp;EDATE(L$4,1))=0,"",
SUMIFS(Payments!$H:$H,Payments!$L:$L,"="&amp;$B13,Payments!$Q:$Q,"&gt;="&amp;L$4,Payments!$Q:$Q,"&lt;"&amp;EDATE(L$4,1)))</f>
        <v/>
      </c>
      <c r="M13" s="116" t="str">
        <f>IF(SUMIFS(Payments!$H:$H,Payments!$L:$L,"="&amp;$B13,Payments!$Q:$Q,"&gt;="&amp;M$4,Payments!$Q:$Q,"&lt;"&amp;EDATE(M$4,1))=0,"",
SUMIFS(Payments!$H:$H,Payments!$L:$L,"="&amp;$B13,Payments!$Q:$Q,"&gt;="&amp;M$4,Payments!$Q:$Q,"&lt;"&amp;EDATE(M$4,1)))</f>
        <v/>
      </c>
      <c r="N13" s="116" t="str">
        <f>IF(SUMIFS(Payments!$H:$H,Payments!$L:$L,"="&amp;$B13,Payments!$Q:$Q,"&gt;="&amp;N$4,Payments!$Q:$Q,"&lt;"&amp;EDATE(N$4,1))=0,"",
SUMIFS(Payments!$H:$H,Payments!$L:$L,"="&amp;$B13,Payments!$Q:$Q,"&gt;="&amp;N$4,Payments!$Q:$Q,"&lt;"&amp;EDATE(N$4,1)))</f>
        <v/>
      </c>
      <c r="O13" s="116">
        <f t="shared" si="2"/>
        <v>0</v>
      </c>
      <c r="P13" s="116">
        <f>SUMIFS(Payments!$H:$H,Payments!$L:L,"="&amp;$B13,Payments!$Q:$Q,"="&amp;"")</f>
        <v>0</v>
      </c>
      <c r="Q13" s="116">
        <f t="shared" si="3"/>
        <v>0</v>
      </c>
      <c r="R13" s="116">
        <f>VLOOKUP(B13,SETUP!H:K,4,FALSE)</f>
        <v>366</v>
      </c>
      <c r="S13" s="116">
        <f t="shared" si="4"/>
        <v>366</v>
      </c>
      <c r="T13" s="163">
        <f t="shared" si="5"/>
        <v>0</v>
      </c>
      <c r="U13" s="163">
        <f>IF(Q13=0,0,IF(AGAR!E$8=0,"No precept",Q13/AGAR!E$8))</f>
        <v>0</v>
      </c>
    </row>
    <row r="14" spans="2:23" x14ac:dyDescent="0.3">
      <c r="B14" s="175" t="str">
        <f>SETUP!H12</f>
        <v>Training &amp; Development</v>
      </c>
      <c r="C14" s="116">
        <f>IF(SUMIFS(Payments!$H:$H,Payments!$L:$L,"="&amp;$B14,Payments!$Q:$Q,"&gt;="&amp;C$4,Payments!$Q:$Q,"&lt;"&amp;EDATE(C$4,1))=0,"",
SUMIFS(Payments!$H:$H,Payments!$L:$L,"="&amp;$B14,Payments!$Q:$Q,"&gt;="&amp;C$4,Payments!$Q:$Q,"&lt;"&amp;EDATE(C$4,1)))</f>
        <v>25</v>
      </c>
      <c r="D14" s="116" t="str">
        <f>IF(SUMIFS(Payments!$H:$H,Payments!$L:$L,"="&amp;$B14,Payments!$Q:$Q,"&gt;="&amp;D$4,Payments!$Q:$Q,"&lt;"&amp;EDATE(D$4,1))=0,"",
SUMIFS(Payments!$H:$H,Payments!$L:$L,"="&amp;$B14,Payments!$Q:$Q,"&gt;="&amp;D$4,Payments!$Q:$Q,"&lt;"&amp;EDATE(D$4,1)))</f>
        <v/>
      </c>
      <c r="E14" s="116" t="str">
        <f>IF(SUMIFS(Payments!$H:$H,Payments!$L:$L,"="&amp;$B14,Payments!$Q:$Q,"&gt;="&amp;E$4,Payments!$Q:$Q,"&lt;"&amp;EDATE(E$4,1))=0,"",
SUMIFS(Payments!$H:$H,Payments!$L:$L,"="&amp;$B14,Payments!$Q:$Q,"&gt;="&amp;E$4,Payments!$Q:$Q,"&lt;"&amp;EDATE(E$4,1)))</f>
        <v/>
      </c>
      <c r="F14" s="116" t="str">
        <f>IF(SUMIFS(Payments!$H:$H,Payments!$L:$L,"="&amp;$B14,Payments!$Q:$Q,"&gt;="&amp;F$4,Payments!$Q:$Q,"&lt;"&amp;EDATE(F$4,1))=0,"",
SUMIFS(Payments!$H:$H,Payments!$L:$L,"="&amp;$B14,Payments!$Q:$Q,"&gt;="&amp;F$4,Payments!$Q:$Q,"&lt;"&amp;EDATE(F$4,1)))</f>
        <v/>
      </c>
      <c r="G14" s="116" t="str">
        <f>IF(SUMIFS(Payments!$H:$H,Payments!$L:$L,"="&amp;$B14,Payments!$Q:$Q,"&gt;="&amp;G$4,Payments!$Q:$Q,"&lt;"&amp;EDATE(G$4,1))=0,"",
SUMIFS(Payments!$H:$H,Payments!$L:$L,"="&amp;$B14,Payments!$Q:$Q,"&gt;="&amp;G$4,Payments!$Q:$Q,"&lt;"&amp;EDATE(G$4,1)))</f>
        <v/>
      </c>
      <c r="H14" s="116" t="str">
        <f>IF(SUMIFS(Payments!$H:$H,Payments!$L:$L,"="&amp;$B14,Payments!$Q:$Q,"&gt;="&amp;H$4,Payments!$Q:$Q,"&lt;"&amp;EDATE(H$4,1))=0,"",
SUMIFS(Payments!$H:$H,Payments!$L:$L,"="&amp;$B14,Payments!$Q:$Q,"&gt;="&amp;H$4,Payments!$Q:$Q,"&lt;"&amp;EDATE(H$4,1)))</f>
        <v/>
      </c>
      <c r="I14" s="116" t="str">
        <f>IF(SUMIFS(Payments!$H:$H,Payments!$L:$L,"="&amp;$B14,Payments!$Q:$Q,"&gt;="&amp;I$4,Payments!$Q:$Q,"&lt;"&amp;EDATE(I$4,1))=0,"",
SUMIFS(Payments!$H:$H,Payments!$L:$L,"="&amp;$B14,Payments!$Q:$Q,"&gt;="&amp;I$4,Payments!$Q:$Q,"&lt;"&amp;EDATE(I$4,1)))</f>
        <v/>
      </c>
      <c r="J14" s="116" t="str">
        <f>IF(SUMIFS(Payments!$H:$H,Payments!$L:$L,"="&amp;$B14,Payments!$Q:$Q,"&gt;="&amp;J$4,Payments!$Q:$Q,"&lt;"&amp;EDATE(J$4,1))=0,"",
SUMIFS(Payments!$H:$H,Payments!$L:$L,"="&amp;$B14,Payments!$Q:$Q,"&gt;="&amp;J$4,Payments!$Q:$Q,"&lt;"&amp;EDATE(J$4,1)))</f>
        <v/>
      </c>
      <c r="K14" s="116" t="str">
        <f>IF(SUMIFS(Payments!$H:$H,Payments!$L:$L,"="&amp;$B14,Payments!$Q:$Q,"&gt;="&amp;K$4,Payments!$Q:$Q,"&lt;"&amp;EDATE(K$4,1))=0,"",
SUMIFS(Payments!$H:$H,Payments!$L:$L,"="&amp;$B14,Payments!$Q:$Q,"&gt;="&amp;K$4,Payments!$Q:$Q,"&lt;"&amp;EDATE(K$4,1)))</f>
        <v/>
      </c>
      <c r="L14" s="116" t="str">
        <f>IF(SUMIFS(Payments!$H:$H,Payments!$L:$L,"="&amp;$B14,Payments!$Q:$Q,"&gt;="&amp;L$4,Payments!$Q:$Q,"&lt;"&amp;EDATE(L$4,1))=0,"",
SUMIFS(Payments!$H:$H,Payments!$L:$L,"="&amp;$B14,Payments!$Q:$Q,"&gt;="&amp;L$4,Payments!$Q:$Q,"&lt;"&amp;EDATE(L$4,1)))</f>
        <v/>
      </c>
      <c r="M14" s="116" t="str">
        <f>IF(SUMIFS(Payments!$H:$H,Payments!$L:$L,"="&amp;$B14,Payments!$Q:$Q,"&gt;="&amp;M$4,Payments!$Q:$Q,"&lt;"&amp;EDATE(M$4,1))=0,"",
SUMIFS(Payments!$H:$H,Payments!$L:$L,"="&amp;$B14,Payments!$Q:$Q,"&gt;="&amp;M$4,Payments!$Q:$Q,"&lt;"&amp;EDATE(M$4,1)))</f>
        <v/>
      </c>
      <c r="N14" s="116" t="str">
        <f>IF(SUMIFS(Payments!$H:$H,Payments!$L:$L,"="&amp;$B14,Payments!$Q:$Q,"&gt;="&amp;N$4,Payments!$Q:$Q,"&lt;"&amp;EDATE(N$4,1))=0,"",
SUMIFS(Payments!$H:$H,Payments!$L:$L,"="&amp;$B14,Payments!$Q:$Q,"&gt;="&amp;N$4,Payments!$Q:$Q,"&lt;"&amp;EDATE(N$4,1)))</f>
        <v/>
      </c>
      <c r="O14" s="116">
        <f t="shared" si="2"/>
        <v>25</v>
      </c>
      <c r="P14" s="116">
        <f>SUMIFS(Payments!$H:$H,Payments!$L:L,"="&amp;$B14,Payments!$Q:$Q,"="&amp;"")</f>
        <v>0</v>
      </c>
      <c r="Q14" s="116">
        <f t="shared" si="3"/>
        <v>25</v>
      </c>
      <c r="R14" s="116">
        <f>VLOOKUP(B14,SETUP!H:K,4,FALSE)</f>
        <v>500</v>
      </c>
      <c r="S14" s="116">
        <f t="shared" si="4"/>
        <v>475</v>
      </c>
      <c r="T14" s="163">
        <f t="shared" si="5"/>
        <v>6.3163708457544788E-4</v>
      </c>
      <c r="U14" s="163">
        <f>IF(Q14=0,0,IF(AGAR!E$8=0,"No precept",Q14/AGAR!E$8))</f>
        <v>1.6055178437253151E-4</v>
      </c>
    </row>
    <row r="15" spans="2:23" x14ac:dyDescent="0.3">
      <c r="B15" s="175" t="str">
        <f>SETUP!H13</f>
        <v>IT</v>
      </c>
      <c r="C15" s="116">
        <f>IF(SUMIFS(Payments!$H:$H,Payments!$L:$L,"="&amp;$B15,Payments!$Q:$Q,"&gt;="&amp;C$4,Payments!$Q:$Q,"&lt;"&amp;EDATE(C$4,1))=0,"",
SUMIFS(Payments!$H:$H,Payments!$L:$L,"="&amp;$B15,Payments!$Q:$Q,"&gt;="&amp;C$4,Payments!$Q:$Q,"&lt;"&amp;EDATE(C$4,1)))</f>
        <v>109.9</v>
      </c>
      <c r="D15" s="116">
        <f>IF(SUMIFS(Payments!$H:$H,Payments!$L:$L,"="&amp;$B15,Payments!$Q:$Q,"&gt;="&amp;D$4,Payments!$Q:$Q,"&lt;"&amp;EDATE(D$4,1))=0,"",
SUMIFS(Payments!$H:$H,Payments!$L:$L,"="&amp;$B15,Payments!$Q:$Q,"&gt;="&amp;D$4,Payments!$Q:$Q,"&lt;"&amp;EDATE(D$4,1)))</f>
        <v>50</v>
      </c>
      <c r="E15" s="116" t="str">
        <f>IF(SUMIFS(Payments!$H:$H,Payments!$L:$L,"="&amp;$B15,Payments!$Q:$Q,"&gt;="&amp;E$4,Payments!$Q:$Q,"&lt;"&amp;EDATE(E$4,1))=0,"",
SUMIFS(Payments!$H:$H,Payments!$L:$L,"="&amp;$B15,Payments!$Q:$Q,"&gt;="&amp;E$4,Payments!$Q:$Q,"&lt;"&amp;EDATE(E$4,1)))</f>
        <v/>
      </c>
      <c r="F15" s="116" t="str">
        <f>IF(SUMIFS(Payments!$H:$H,Payments!$L:$L,"="&amp;$B15,Payments!$Q:$Q,"&gt;="&amp;F$4,Payments!$Q:$Q,"&lt;"&amp;EDATE(F$4,1))=0,"",
SUMIFS(Payments!$H:$H,Payments!$L:$L,"="&amp;$B15,Payments!$Q:$Q,"&gt;="&amp;F$4,Payments!$Q:$Q,"&lt;"&amp;EDATE(F$4,1)))</f>
        <v/>
      </c>
      <c r="G15" s="116" t="str">
        <f>IF(SUMIFS(Payments!$H:$H,Payments!$L:$L,"="&amp;$B15,Payments!$Q:$Q,"&gt;="&amp;G$4,Payments!$Q:$Q,"&lt;"&amp;EDATE(G$4,1))=0,"",
SUMIFS(Payments!$H:$H,Payments!$L:$L,"="&amp;$B15,Payments!$Q:$Q,"&gt;="&amp;G$4,Payments!$Q:$Q,"&lt;"&amp;EDATE(G$4,1)))</f>
        <v/>
      </c>
      <c r="H15" s="116" t="str">
        <f>IF(SUMIFS(Payments!$H:$H,Payments!$L:$L,"="&amp;$B15,Payments!$Q:$Q,"&gt;="&amp;H$4,Payments!$Q:$Q,"&lt;"&amp;EDATE(H$4,1))=0,"",
SUMIFS(Payments!$H:$H,Payments!$L:$L,"="&amp;$B15,Payments!$Q:$Q,"&gt;="&amp;H$4,Payments!$Q:$Q,"&lt;"&amp;EDATE(H$4,1)))</f>
        <v/>
      </c>
      <c r="I15" s="116" t="str">
        <f>IF(SUMIFS(Payments!$H:$H,Payments!$L:$L,"="&amp;$B15,Payments!$Q:$Q,"&gt;="&amp;I$4,Payments!$Q:$Q,"&lt;"&amp;EDATE(I$4,1))=0,"",
SUMIFS(Payments!$H:$H,Payments!$L:$L,"="&amp;$B15,Payments!$Q:$Q,"&gt;="&amp;I$4,Payments!$Q:$Q,"&lt;"&amp;EDATE(I$4,1)))</f>
        <v/>
      </c>
      <c r="J15" s="116" t="str">
        <f>IF(SUMIFS(Payments!$H:$H,Payments!$L:$L,"="&amp;$B15,Payments!$Q:$Q,"&gt;="&amp;J$4,Payments!$Q:$Q,"&lt;"&amp;EDATE(J$4,1))=0,"",
SUMIFS(Payments!$H:$H,Payments!$L:$L,"="&amp;$B15,Payments!$Q:$Q,"&gt;="&amp;J$4,Payments!$Q:$Q,"&lt;"&amp;EDATE(J$4,1)))</f>
        <v/>
      </c>
      <c r="K15" s="116" t="str">
        <f>IF(SUMIFS(Payments!$H:$H,Payments!$L:$L,"="&amp;$B15,Payments!$Q:$Q,"&gt;="&amp;K$4,Payments!$Q:$Q,"&lt;"&amp;EDATE(K$4,1))=0,"",
SUMIFS(Payments!$H:$H,Payments!$L:$L,"="&amp;$B15,Payments!$Q:$Q,"&gt;="&amp;K$4,Payments!$Q:$Q,"&lt;"&amp;EDATE(K$4,1)))</f>
        <v/>
      </c>
      <c r="L15" s="116" t="str">
        <f>IF(SUMIFS(Payments!$H:$H,Payments!$L:$L,"="&amp;$B15,Payments!$Q:$Q,"&gt;="&amp;L$4,Payments!$Q:$Q,"&lt;"&amp;EDATE(L$4,1))=0,"",
SUMIFS(Payments!$H:$H,Payments!$L:$L,"="&amp;$B15,Payments!$Q:$Q,"&gt;="&amp;L$4,Payments!$Q:$Q,"&lt;"&amp;EDATE(L$4,1)))</f>
        <v/>
      </c>
      <c r="M15" s="116" t="str">
        <f>IF(SUMIFS(Payments!$H:$H,Payments!$L:$L,"="&amp;$B15,Payments!$Q:$Q,"&gt;="&amp;M$4,Payments!$Q:$Q,"&lt;"&amp;EDATE(M$4,1))=0,"",
SUMIFS(Payments!$H:$H,Payments!$L:$L,"="&amp;$B15,Payments!$Q:$Q,"&gt;="&amp;M$4,Payments!$Q:$Q,"&lt;"&amp;EDATE(M$4,1)))</f>
        <v/>
      </c>
      <c r="N15" s="116" t="str">
        <f>IF(SUMIFS(Payments!$H:$H,Payments!$L:$L,"="&amp;$B15,Payments!$Q:$Q,"&gt;="&amp;N$4,Payments!$Q:$Q,"&lt;"&amp;EDATE(N$4,1))=0,"",
SUMIFS(Payments!$H:$H,Payments!$L:$L,"="&amp;$B15,Payments!$Q:$Q,"&gt;="&amp;N$4,Payments!$Q:$Q,"&lt;"&amp;EDATE(N$4,1)))</f>
        <v/>
      </c>
      <c r="O15" s="116">
        <f t="shared" si="2"/>
        <v>159.9</v>
      </c>
      <c r="P15" s="116">
        <f>SUMIFS(Payments!$H:$H,Payments!$L:L,"="&amp;$B15,Payments!$Q:$Q,"="&amp;"")</f>
        <v>0</v>
      </c>
      <c r="Q15" s="116">
        <f t="shared" si="3"/>
        <v>159.9</v>
      </c>
      <c r="R15" s="116">
        <f>VLOOKUP(B15,SETUP!H:K,4,FALSE)</f>
        <v>500</v>
      </c>
      <c r="S15" s="116">
        <f t="shared" si="4"/>
        <v>340.1</v>
      </c>
      <c r="T15" s="163">
        <f t="shared" si="5"/>
        <v>4.0399507929445647E-3</v>
      </c>
      <c r="U15" s="163">
        <f>IF(Q15=0,0,IF(AGAR!E$8=0,"No precept",Q15/AGAR!E$8))</f>
        <v>1.0268892128467116E-3</v>
      </c>
    </row>
    <row r="16" spans="2:23" ht="11.25" customHeight="1" x14ac:dyDescent="0.3">
      <c r="B16" s="175" t="str">
        <f>SETUP!H14</f>
        <v>Office equipment</v>
      </c>
      <c r="C16" s="116">
        <f>IF(SUMIFS(Payments!$H:$H,Payments!$L:$L,"="&amp;$B16,Payments!$Q:$Q,"&gt;="&amp;C$4,Payments!$Q:$Q,"&lt;"&amp;EDATE(C$4,1))=0,"",
SUMIFS(Payments!$H:$H,Payments!$L:$L,"="&amp;$B16,Payments!$Q:$Q,"&gt;="&amp;C$4,Payments!$Q:$Q,"&lt;"&amp;EDATE(C$4,1)))</f>
        <v>180.91</v>
      </c>
      <c r="D16" s="116">
        <f>IF(SUMIFS(Payments!$H:$H,Payments!$L:$L,"="&amp;$B16,Payments!$Q:$Q,"&gt;="&amp;D$4,Payments!$Q:$Q,"&lt;"&amp;EDATE(D$4,1))=0,"",
SUMIFS(Payments!$H:$H,Payments!$L:$L,"="&amp;$B16,Payments!$Q:$Q,"&gt;="&amp;D$4,Payments!$Q:$Q,"&lt;"&amp;EDATE(D$4,1)))</f>
        <v>337.90999999999997</v>
      </c>
      <c r="E16" s="116" t="str">
        <f>IF(SUMIFS(Payments!$H:$H,Payments!$L:$L,"="&amp;$B16,Payments!$Q:$Q,"&gt;="&amp;E$4,Payments!$Q:$Q,"&lt;"&amp;EDATE(E$4,1))=0,"",
SUMIFS(Payments!$H:$H,Payments!$L:$L,"="&amp;$B16,Payments!$Q:$Q,"&gt;="&amp;E$4,Payments!$Q:$Q,"&lt;"&amp;EDATE(E$4,1)))</f>
        <v/>
      </c>
      <c r="F16" s="116" t="str">
        <f>IF(SUMIFS(Payments!$H:$H,Payments!$L:$L,"="&amp;$B16,Payments!$Q:$Q,"&gt;="&amp;F$4,Payments!$Q:$Q,"&lt;"&amp;EDATE(F$4,1))=0,"",
SUMIFS(Payments!$H:$H,Payments!$L:$L,"="&amp;$B16,Payments!$Q:$Q,"&gt;="&amp;F$4,Payments!$Q:$Q,"&lt;"&amp;EDATE(F$4,1)))</f>
        <v/>
      </c>
      <c r="G16" s="116" t="str">
        <f>IF(SUMIFS(Payments!$H:$H,Payments!$L:$L,"="&amp;$B16,Payments!$Q:$Q,"&gt;="&amp;G$4,Payments!$Q:$Q,"&lt;"&amp;EDATE(G$4,1))=0,"",
SUMIFS(Payments!$H:$H,Payments!$L:$L,"="&amp;$B16,Payments!$Q:$Q,"&gt;="&amp;G$4,Payments!$Q:$Q,"&lt;"&amp;EDATE(G$4,1)))</f>
        <v/>
      </c>
      <c r="H16" s="116" t="str">
        <f>IF(SUMIFS(Payments!$H:$H,Payments!$L:$L,"="&amp;$B16,Payments!$Q:$Q,"&gt;="&amp;H$4,Payments!$Q:$Q,"&lt;"&amp;EDATE(H$4,1))=0,"",
SUMIFS(Payments!$H:$H,Payments!$L:$L,"="&amp;$B16,Payments!$Q:$Q,"&gt;="&amp;H$4,Payments!$Q:$Q,"&lt;"&amp;EDATE(H$4,1)))</f>
        <v/>
      </c>
      <c r="I16" s="116" t="str">
        <f>IF(SUMIFS(Payments!$H:$H,Payments!$L:$L,"="&amp;$B16,Payments!$Q:$Q,"&gt;="&amp;I$4,Payments!$Q:$Q,"&lt;"&amp;EDATE(I$4,1))=0,"",
SUMIFS(Payments!$H:$H,Payments!$L:$L,"="&amp;$B16,Payments!$Q:$Q,"&gt;="&amp;I$4,Payments!$Q:$Q,"&lt;"&amp;EDATE(I$4,1)))</f>
        <v/>
      </c>
      <c r="J16" s="116" t="str">
        <f>IF(SUMIFS(Payments!$H:$H,Payments!$L:$L,"="&amp;$B16,Payments!$Q:$Q,"&gt;="&amp;J$4,Payments!$Q:$Q,"&lt;"&amp;EDATE(J$4,1))=0,"",
SUMIFS(Payments!$H:$H,Payments!$L:$L,"="&amp;$B16,Payments!$Q:$Q,"&gt;="&amp;J$4,Payments!$Q:$Q,"&lt;"&amp;EDATE(J$4,1)))</f>
        <v/>
      </c>
      <c r="K16" s="116" t="str">
        <f>IF(SUMIFS(Payments!$H:$H,Payments!$L:$L,"="&amp;$B16,Payments!$Q:$Q,"&gt;="&amp;K$4,Payments!$Q:$Q,"&lt;"&amp;EDATE(K$4,1))=0,"",
SUMIFS(Payments!$H:$H,Payments!$L:$L,"="&amp;$B16,Payments!$Q:$Q,"&gt;="&amp;K$4,Payments!$Q:$Q,"&lt;"&amp;EDATE(K$4,1)))</f>
        <v/>
      </c>
      <c r="L16" s="116" t="str">
        <f>IF(SUMIFS(Payments!$H:$H,Payments!$L:$L,"="&amp;$B16,Payments!$Q:$Q,"&gt;="&amp;L$4,Payments!$Q:$Q,"&lt;"&amp;EDATE(L$4,1))=0,"",
SUMIFS(Payments!$H:$H,Payments!$L:$L,"="&amp;$B16,Payments!$Q:$Q,"&gt;="&amp;L$4,Payments!$Q:$Q,"&lt;"&amp;EDATE(L$4,1)))</f>
        <v/>
      </c>
      <c r="M16" s="116" t="str">
        <f>IF(SUMIFS(Payments!$H:$H,Payments!$L:$L,"="&amp;$B16,Payments!$Q:$Q,"&gt;="&amp;M$4,Payments!$Q:$Q,"&lt;"&amp;EDATE(M$4,1))=0,"",
SUMIFS(Payments!$H:$H,Payments!$L:$L,"="&amp;$B16,Payments!$Q:$Q,"&gt;="&amp;M$4,Payments!$Q:$Q,"&lt;"&amp;EDATE(M$4,1)))</f>
        <v/>
      </c>
      <c r="N16" s="116" t="str">
        <f>IF(SUMIFS(Payments!$H:$H,Payments!$L:$L,"="&amp;$B16,Payments!$Q:$Q,"&gt;="&amp;N$4,Payments!$Q:$Q,"&lt;"&amp;EDATE(N$4,1))=0,"",
SUMIFS(Payments!$H:$H,Payments!$L:$L,"="&amp;$B16,Payments!$Q:$Q,"&gt;="&amp;N$4,Payments!$Q:$Q,"&lt;"&amp;EDATE(N$4,1)))</f>
        <v/>
      </c>
      <c r="O16" s="116">
        <f t="shared" si="2"/>
        <v>518.81999999999994</v>
      </c>
      <c r="P16" s="116">
        <f>SUMIFS(Payments!$H:$H,Payments!$L:L,"="&amp;$B16,Payments!$Q:$Q,"="&amp;"")</f>
        <v>0</v>
      </c>
      <c r="Q16" s="116">
        <f t="shared" si="3"/>
        <v>518.81999999999994</v>
      </c>
      <c r="R16" s="116">
        <f>VLOOKUP(B16,SETUP!H:K,4,FALSE)</f>
        <v>4000</v>
      </c>
      <c r="S16" s="116">
        <f t="shared" si="4"/>
        <v>3481.1800000000003</v>
      </c>
      <c r="T16" s="163">
        <f t="shared" si="5"/>
        <v>1.3108238088777353E-2</v>
      </c>
      <c r="U16" s="163">
        <f>IF(Q16=0,0,IF(AGAR!E$8=0,"No precept",Q16/AGAR!E$8))</f>
        <v>3.3318990707262718E-3</v>
      </c>
    </row>
    <row r="17" spans="2:23" x14ac:dyDescent="0.3">
      <c r="B17" s="175" t="str">
        <f>SETUP!H15</f>
        <v>Travel/Expenses (staff)</v>
      </c>
      <c r="C17" s="116">
        <f>IF(SUMIFS(Payments!$H:$H,Payments!$L:$L,"="&amp;$B17,Payments!$Q:$Q,"&gt;="&amp;C$4,Payments!$Q:$Q,"&lt;"&amp;EDATE(C$4,1))=0,"",
SUMIFS(Payments!$H:$H,Payments!$L:$L,"="&amp;$B17,Payments!$Q:$Q,"&gt;="&amp;C$4,Payments!$Q:$Q,"&lt;"&amp;EDATE(C$4,1)))</f>
        <v>112.75</v>
      </c>
      <c r="D17" s="116" t="str">
        <f>IF(SUMIFS(Payments!$H:$H,Payments!$L:$L,"="&amp;$B17,Payments!$Q:$Q,"&gt;="&amp;D$4,Payments!$Q:$Q,"&lt;"&amp;EDATE(D$4,1))=0,"",
SUMIFS(Payments!$H:$H,Payments!$L:$L,"="&amp;$B17,Payments!$Q:$Q,"&gt;="&amp;D$4,Payments!$Q:$Q,"&lt;"&amp;EDATE(D$4,1)))</f>
        <v/>
      </c>
      <c r="E17" s="116" t="str">
        <f>IF(SUMIFS(Payments!$H:$H,Payments!$L:$L,"="&amp;$B17,Payments!$Q:$Q,"&gt;="&amp;E$4,Payments!$Q:$Q,"&lt;"&amp;EDATE(E$4,1))=0,"",
SUMIFS(Payments!$H:$H,Payments!$L:$L,"="&amp;$B17,Payments!$Q:$Q,"&gt;="&amp;E$4,Payments!$Q:$Q,"&lt;"&amp;EDATE(E$4,1)))</f>
        <v/>
      </c>
      <c r="F17" s="116" t="str">
        <f>IF(SUMIFS(Payments!$H:$H,Payments!$L:$L,"="&amp;$B17,Payments!$Q:$Q,"&gt;="&amp;F$4,Payments!$Q:$Q,"&lt;"&amp;EDATE(F$4,1))=0,"",
SUMIFS(Payments!$H:$H,Payments!$L:$L,"="&amp;$B17,Payments!$Q:$Q,"&gt;="&amp;F$4,Payments!$Q:$Q,"&lt;"&amp;EDATE(F$4,1)))</f>
        <v/>
      </c>
      <c r="G17" s="116" t="str">
        <f>IF(SUMIFS(Payments!$H:$H,Payments!$L:$L,"="&amp;$B17,Payments!$Q:$Q,"&gt;="&amp;G$4,Payments!$Q:$Q,"&lt;"&amp;EDATE(G$4,1))=0,"",
SUMIFS(Payments!$H:$H,Payments!$L:$L,"="&amp;$B17,Payments!$Q:$Q,"&gt;="&amp;G$4,Payments!$Q:$Q,"&lt;"&amp;EDATE(G$4,1)))</f>
        <v/>
      </c>
      <c r="H17" s="116" t="str">
        <f>IF(SUMIFS(Payments!$H:$H,Payments!$L:$L,"="&amp;$B17,Payments!$Q:$Q,"&gt;="&amp;H$4,Payments!$Q:$Q,"&lt;"&amp;EDATE(H$4,1))=0,"",
SUMIFS(Payments!$H:$H,Payments!$L:$L,"="&amp;$B17,Payments!$Q:$Q,"&gt;="&amp;H$4,Payments!$Q:$Q,"&lt;"&amp;EDATE(H$4,1)))</f>
        <v/>
      </c>
      <c r="I17" s="116" t="str">
        <f>IF(SUMIFS(Payments!$H:$H,Payments!$L:$L,"="&amp;$B17,Payments!$Q:$Q,"&gt;="&amp;I$4,Payments!$Q:$Q,"&lt;"&amp;EDATE(I$4,1))=0,"",
SUMIFS(Payments!$H:$H,Payments!$L:$L,"="&amp;$B17,Payments!$Q:$Q,"&gt;="&amp;I$4,Payments!$Q:$Q,"&lt;"&amp;EDATE(I$4,1)))</f>
        <v/>
      </c>
      <c r="J17" s="116" t="str">
        <f>IF(SUMIFS(Payments!$H:$H,Payments!$L:$L,"="&amp;$B17,Payments!$Q:$Q,"&gt;="&amp;J$4,Payments!$Q:$Q,"&lt;"&amp;EDATE(J$4,1))=0,"",
SUMIFS(Payments!$H:$H,Payments!$L:$L,"="&amp;$B17,Payments!$Q:$Q,"&gt;="&amp;J$4,Payments!$Q:$Q,"&lt;"&amp;EDATE(J$4,1)))</f>
        <v/>
      </c>
      <c r="K17" s="116" t="str">
        <f>IF(SUMIFS(Payments!$H:$H,Payments!$L:$L,"="&amp;$B17,Payments!$Q:$Q,"&gt;="&amp;K$4,Payments!$Q:$Q,"&lt;"&amp;EDATE(K$4,1))=0,"",
SUMIFS(Payments!$H:$H,Payments!$L:$L,"="&amp;$B17,Payments!$Q:$Q,"&gt;="&amp;K$4,Payments!$Q:$Q,"&lt;"&amp;EDATE(K$4,1)))</f>
        <v/>
      </c>
      <c r="L17" s="116" t="str">
        <f>IF(SUMIFS(Payments!$H:$H,Payments!$L:$L,"="&amp;$B17,Payments!$Q:$Q,"&gt;="&amp;L$4,Payments!$Q:$Q,"&lt;"&amp;EDATE(L$4,1))=0,"",
SUMIFS(Payments!$H:$H,Payments!$L:$L,"="&amp;$B17,Payments!$Q:$Q,"&gt;="&amp;L$4,Payments!$Q:$Q,"&lt;"&amp;EDATE(L$4,1)))</f>
        <v/>
      </c>
      <c r="M17" s="116" t="str">
        <f>IF(SUMIFS(Payments!$H:$H,Payments!$L:$L,"="&amp;$B17,Payments!$Q:$Q,"&gt;="&amp;M$4,Payments!$Q:$Q,"&lt;"&amp;EDATE(M$4,1))=0,"",
SUMIFS(Payments!$H:$H,Payments!$L:$L,"="&amp;$B17,Payments!$Q:$Q,"&gt;="&amp;M$4,Payments!$Q:$Q,"&lt;"&amp;EDATE(M$4,1)))</f>
        <v/>
      </c>
      <c r="N17" s="116" t="str">
        <f>IF(SUMIFS(Payments!$H:$H,Payments!$L:$L,"="&amp;$B17,Payments!$Q:$Q,"&gt;="&amp;N$4,Payments!$Q:$Q,"&lt;"&amp;EDATE(N$4,1))=0,"",
SUMIFS(Payments!$H:$H,Payments!$L:$L,"="&amp;$B17,Payments!$Q:$Q,"&gt;="&amp;N$4,Payments!$Q:$Q,"&lt;"&amp;EDATE(N$4,1)))</f>
        <v/>
      </c>
      <c r="O17" s="116">
        <f t="shared" si="2"/>
        <v>112.75</v>
      </c>
      <c r="P17" s="116">
        <f>SUMIFS(Payments!$H:$H,Payments!$L:L,"="&amp;$B17,Payments!$Q:$Q,"="&amp;"")</f>
        <v>0</v>
      </c>
      <c r="Q17" s="116">
        <f t="shared" si="3"/>
        <v>112.75</v>
      </c>
      <c r="R17" s="116">
        <f>VLOOKUP(B17,SETUP!H:K,4,FALSE)</f>
        <v>700</v>
      </c>
      <c r="S17" s="116">
        <f t="shared" si="4"/>
        <v>587.25</v>
      </c>
      <c r="T17" s="163">
        <f t="shared" si="5"/>
        <v>2.84868325143527E-3</v>
      </c>
      <c r="U17" s="163">
        <f>IF(Q17=0,0,IF(AGAR!E$8=0,"No precept",Q17/AGAR!E$8))</f>
        <v>7.2408854752011715E-4</v>
      </c>
    </row>
    <row r="18" spans="2:23" x14ac:dyDescent="0.3">
      <c r="B18" s="175" t="str">
        <f>SETUP!H16</f>
        <v>Bid writing</v>
      </c>
      <c r="C18" s="116" t="str">
        <f>IF(SUMIFS(Payments!$H:$H,Payments!$L:$L,"="&amp;$B18,Payments!$Q:$Q,"&gt;="&amp;C$4,Payments!$Q:$Q,"&lt;"&amp;EDATE(C$4,1))=0,"",
SUMIFS(Payments!$H:$H,Payments!$L:$L,"="&amp;$B18,Payments!$Q:$Q,"&gt;="&amp;C$4,Payments!$Q:$Q,"&lt;"&amp;EDATE(C$4,1)))</f>
        <v/>
      </c>
      <c r="D18" s="116" t="str">
        <f>IF(SUMIFS(Payments!$H:$H,Payments!$L:$L,"="&amp;$B18,Payments!$Q:$Q,"&gt;="&amp;D$4,Payments!$Q:$Q,"&lt;"&amp;EDATE(D$4,1))=0,"",
SUMIFS(Payments!$H:$H,Payments!$L:$L,"="&amp;$B18,Payments!$Q:$Q,"&gt;="&amp;D$4,Payments!$Q:$Q,"&lt;"&amp;EDATE(D$4,1)))</f>
        <v/>
      </c>
      <c r="E18" s="116" t="str">
        <f>IF(SUMIFS(Payments!$H:$H,Payments!$L:$L,"="&amp;$B18,Payments!$Q:$Q,"&gt;="&amp;E$4,Payments!$Q:$Q,"&lt;"&amp;EDATE(E$4,1))=0,"",
SUMIFS(Payments!$H:$H,Payments!$L:$L,"="&amp;$B18,Payments!$Q:$Q,"&gt;="&amp;E$4,Payments!$Q:$Q,"&lt;"&amp;EDATE(E$4,1)))</f>
        <v/>
      </c>
      <c r="F18" s="116" t="str">
        <f>IF(SUMIFS(Payments!$H:$H,Payments!$L:$L,"="&amp;$B18,Payments!$Q:$Q,"&gt;="&amp;F$4,Payments!$Q:$Q,"&lt;"&amp;EDATE(F$4,1))=0,"",
SUMIFS(Payments!$H:$H,Payments!$L:$L,"="&amp;$B18,Payments!$Q:$Q,"&gt;="&amp;F$4,Payments!$Q:$Q,"&lt;"&amp;EDATE(F$4,1)))</f>
        <v/>
      </c>
      <c r="G18" s="116" t="str">
        <f>IF(SUMIFS(Payments!$H:$H,Payments!$L:$L,"="&amp;$B18,Payments!$Q:$Q,"&gt;="&amp;G$4,Payments!$Q:$Q,"&lt;"&amp;EDATE(G$4,1))=0,"",
SUMIFS(Payments!$H:$H,Payments!$L:$L,"="&amp;$B18,Payments!$Q:$Q,"&gt;="&amp;G$4,Payments!$Q:$Q,"&lt;"&amp;EDATE(G$4,1)))</f>
        <v/>
      </c>
      <c r="H18" s="116" t="str">
        <f>IF(SUMIFS(Payments!$H:$H,Payments!$L:$L,"="&amp;$B18,Payments!$Q:$Q,"&gt;="&amp;H$4,Payments!$Q:$Q,"&lt;"&amp;EDATE(H$4,1))=0,"",
SUMIFS(Payments!$H:$H,Payments!$L:$L,"="&amp;$B18,Payments!$Q:$Q,"&gt;="&amp;H$4,Payments!$Q:$Q,"&lt;"&amp;EDATE(H$4,1)))</f>
        <v/>
      </c>
      <c r="I18" s="116" t="str">
        <f>IF(SUMIFS(Payments!$H:$H,Payments!$L:$L,"="&amp;$B18,Payments!$Q:$Q,"&gt;="&amp;I$4,Payments!$Q:$Q,"&lt;"&amp;EDATE(I$4,1))=0,"",
SUMIFS(Payments!$H:$H,Payments!$L:$L,"="&amp;$B18,Payments!$Q:$Q,"&gt;="&amp;I$4,Payments!$Q:$Q,"&lt;"&amp;EDATE(I$4,1)))</f>
        <v/>
      </c>
      <c r="J18" s="116" t="str">
        <f>IF(SUMIFS(Payments!$H:$H,Payments!$L:$L,"="&amp;$B18,Payments!$Q:$Q,"&gt;="&amp;J$4,Payments!$Q:$Q,"&lt;"&amp;EDATE(J$4,1))=0,"",
SUMIFS(Payments!$H:$H,Payments!$L:$L,"="&amp;$B18,Payments!$Q:$Q,"&gt;="&amp;J$4,Payments!$Q:$Q,"&lt;"&amp;EDATE(J$4,1)))</f>
        <v/>
      </c>
      <c r="K18" s="116" t="str">
        <f>IF(SUMIFS(Payments!$H:$H,Payments!$L:$L,"="&amp;$B18,Payments!$Q:$Q,"&gt;="&amp;K$4,Payments!$Q:$Q,"&lt;"&amp;EDATE(K$4,1))=0,"",
SUMIFS(Payments!$H:$H,Payments!$L:$L,"="&amp;$B18,Payments!$Q:$Q,"&gt;="&amp;K$4,Payments!$Q:$Q,"&lt;"&amp;EDATE(K$4,1)))</f>
        <v/>
      </c>
      <c r="L18" s="116" t="str">
        <f>IF(SUMIFS(Payments!$H:$H,Payments!$L:$L,"="&amp;$B18,Payments!$Q:$Q,"&gt;="&amp;L$4,Payments!$Q:$Q,"&lt;"&amp;EDATE(L$4,1))=0,"",
SUMIFS(Payments!$H:$H,Payments!$L:$L,"="&amp;$B18,Payments!$Q:$Q,"&gt;="&amp;L$4,Payments!$Q:$Q,"&lt;"&amp;EDATE(L$4,1)))</f>
        <v/>
      </c>
      <c r="M18" s="116" t="str">
        <f>IF(SUMIFS(Payments!$H:$H,Payments!$L:$L,"="&amp;$B18,Payments!$Q:$Q,"&gt;="&amp;M$4,Payments!$Q:$Q,"&lt;"&amp;EDATE(M$4,1))=0,"",
SUMIFS(Payments!$H:$H,Payments!$L:$L,"="&amp;$B18,Payments!$Q:$Q,"&gt;="&amp;M$4,Payments!$Q:$Q,"&lt;"&amp;EDATE(M$4,1)))</f>
        <v/>
      </c>
      <c r="N18" s="116" t="str">
        <f>IF(SUMIFS(Payments!$H:$H,Payments!$L:$L,"="&amp;$B18,Payments!$Q:$Q,"&gt;="&amp;N$4,Payments!$Q:$Q,"&lt;"&amp;EDATE(N$4,1))=0,"",
SUMIFS(Payments!$H:$H,Payments!$L:$L,"="&amp;$B18,Payments!$Q:$Q,"&gt;="&amp;N$4,Payments!$Q:$Q,"&lt;"&amp;EDATE(N$4,1)))</f>
        <v/>
      </c>
      <c r="O18" s="116">
        <f t="shared" si="2"/>
        <v>0</v>
      </c>
      <c r="P18" s="116">
        <f>SUMIFS(Payments!$H:$H,Payments!$L:L,"="&amp;$B18,Payments!$Q:$Q,"="&amp;"")</f>
        <v>0</v>
      </c>
      <c r="Q18" s="116">
        <f t="shared" si="3"/>
        <v>0</v>
      </c>
      <c r="R18" s="116">
        <f>VLOOKUP(B18,SETUP!H:K,4,FALSE)</f>
        <v>0</v>
      </c>
      <c r="S18" s="116">
        <f t="shared" si="4"/>
        <v>0</v>
      </c>
      <c r="T18" s="163">
        <f t="shared" si="5"/>
        <v>0</v>
      </c>
      <c r="U18" s="163">
        <f>IF(Q18=0,0,IF(AGAR!E$8=0,"No precept",Q18/AGAR!E$8))</f>
        <v>0</v>
      </c>
    </row>
    <row r="19" spans="2:23" x14ac:dyDescent="0.3">
      <c r="B19" s="175" t="str">
        <f>SETUP!H17</f>
        <v>Newsletter</v>
      </c>
      <c r="C19" s="116" t="str">
        <f>IF(SUMIFS(Payments!$H:$H,Payments!$L:$L,"="&amp;$B19,Payments!$Q:$Q,"&gt;="&amp;C$4,Payments!$Q:$Q,"&lt;"&amp;EDATE(C$4,1))=0,"",
SUMIFS(Payments!$H:$H,Payments!$L:$L,"="&amp;$B19,Payments!$Q:$Q,"&gt;="&amp;C$4,Payments!$Q:$Q,"&lt;"&amp;EDATE(C$4,1)))</f>
        <v/>
      </c>
      <c r="D19" s="116" t="str">
        <f>IF(SUMIFS(Payments!$H:$H,Payments!$L:$L,"="&amp;$B19,Payments!$Q:$Q,"&gt;="&amp;D$4,Payments!$Q:$Q,"&lt;"&amp;EDATE(D$4,1))=0,"",
SUMIFS(Payments!$H:$H,Payments!$L:$L,"="&amp;$B19,Payments!$Q:$Q,"&gt;="&amp;D$4,Payments!$Q:$Q,"&lt;"&amp;EDATE(D$4,1)))</f>
        <v/>
      </c>
      <c r="E19" s="116" t="str">
        <f>IF(SUMIFS(Payments!$H:$H,Payments!$L:$L,"="&amp;$B19,Payments!$Q:$Q,"&gt;="&amp;E$4,Payments!$Q:$Q,"&lt;"&amp;EDATE(E$4,1))=0,"",
SUMIFS(Payments!$H:$H,Payments!$L:$L,"="&amp;$B19,Payments!$Q:$Q,"&gt;="&amp;E$4,Payments!$Q:$Q,"&lt;"&amp;EDATE(E$4,1)))</f>
        <v/>
      </c>
      <c r="F19" s="116" t="str">
        <f>IF(SUMIFS(Payments!$H:$H,Payments!$L:$L,"="&amp;$B19,Payments!$Q:$Q,"&gt;="&amp;F$4,Payments!$Q:$Q,"&lt;"&amp;EDATE(F$4,1))=0,"",
SUMIFS(Payments!$H:$H,Payments!$L:$L,"="&amp;$B19,Payments!$Q:$Q,"&gt;="&amp;F$4,Payments!$Q:$Q,"&lt;"&amp;EDATE(F$4,1)))</f>
        <v/>
      </c>
      <c r="G19" s="116" t="str">
        <f>IF(SUMIFS(Payments!$H:$H,Payments!$L:$L,"="&amp;$B19,Payments!$Q:$Q,"&gt;="&amp;G$4,Payments!$Q:$Q,"&lt;"&amp;EDATE(G$4,1))=0,"",
SUMIFS(Payments!$H:$H,Payments!$L:$L,"="&amp;$B19,Payments!$Q:$Q,"&gt;="&amp;G$4,Payments!$Q:$Q,"&lt;"&amp;EDATE(G$4,1)))</f>
        <v/>
      </c>
      <c r="H19" s="116" t="str">
        <f>IF(SUMIFS(Payments!$H:$H,Payments!$L:$L,"="&amp;$B19,Payments!$Q:$Q,"&gt;="&amp;H$4,Payments!$Q:$Q,"&lt;"&amp;EDATE(H$4,1))=0,"",
SUMIFS(Payments!$H:$H,Payments!$L:$L,"="&amp;$B19,Payments!$Q:$Q,"&gt;="&amp;H$4,Payments!$Q:$Q,"&lt;"&amp;EDATE(H$4,1)))</f>
        <v/>
      </c>
      <c r="I19" s="116" t="str">
        <f>IF(SUMIFS(Payments!$H:$H,Payments!$L:$L,"="&amp;$B19,Payments!$Q:$Q,"&gt;="&amp;I$4,Payments!$Q:$Q,"&lt;"&amp;EDATE(I$4,1))=0,"",
SUMIFS(Payments!$H:$H,Payments!$L:$L,"="&amp;$B19,Payments!$Q:$Q,"&gt;="&amp;I$4,Payments!$Q:$Q,"&lt;"&amp;EDATE(I$4,1)))</f>
        <v/>
      </c>
      <c r="J19" s="116" t="str">
        <f>IF(SUMIFS(Payments!$H:$H,Payments!$L:$L,"="&amp;$B19,Payments!$Q:$Q,"&gt;="&amp;J$4,Payments!$Q:$Q,"&lt;"&amp;EDATE(J$4,1))=0,"",
SUMIFS(Payments!$H:$H,Payments!$L:$L,"="&amp;$B19,Payments!$Q:$Q,"&gt;="&amp;J$4,Payments!$Q:$Q,"&lt;"&amp;EDATE(J$4,1)))</f>
        <v/>
      </c>
      <c r="K19" s="116" t="str">
        <f>IF(SUMIFS(Payments!$H:$H,Payments!$L:$L,"="&amp;$B19,Payments!$Q:$Q,"&gt;="&amp;K$4,Payments!$Q:$Q,"&lt;"&amp;EDATE(K$4,1))=0,"",
SUMIFS(Payments!$H:$H,Payments!$L:$L,"="&amp;$B19,Payments!$Q:$Q,"&gt;="&amp;K$4,Payments!$Q:$Q,"&lt;"&amp;EDATE(K$4,1)))</f>
        <v/>
      </c>
      <c r="L19" s="116" t="str">
        <f>IF(SUMIFS(Payments!$H:$H,Payments!$L:$L,"="&amp;$B19,Payments!$Q:$Q,"&gt;="&amp;L$4,Payments!$Q:$Q,"&lt;"&amp;EDATE(L$4,1))=0,"",
SUMIFS(Payments!$H:$H,Payments!$L:$L,"="&amp;$B19,Payments!$Q:$Q,"&gt;="&amp;L$4,Payments!$Q:$Q,"&lt;"&amp;EDATE(L$4,1)))</f>
        <v/>
      </c>
      <c r="M19" s="116" t="str">
        <f>IF(SUMIFS(Payments!$H:$H,Payments!$L:$L,"="&amp;$B19,Payments!$Q:$Q,"&gt;="&amp;M$4,Payments!$Q:$Q,"&lt;"&amp;EDATE(M$4,1))=0,"",
SUMIFS(Payments!$H:$H,Payments!$L:$L,"="&amp;$B19,Payments!$Q:$Q,"&gt;="&amp;M$4,Payments!$Q:$Q,"&lt;"&amp;EDATE(M$4,1)))</f>
        <v/>
      </c>
      <c r="N19" s="116" t="str">
        <f>IF(SUMIFS(Payments!$H:$H,Payments!$L:$L,"="&amp;$B19,Payments!$Q:$Q,"&gt;="&amp;N$4,Payments!$Q:$Q,"&lt;"&amp;EDATE(N$4,1))=0,"",
SUMIFS(Payments!$H:$H,Payments!$L:$L,"="&amp;$B19,Payments!$Q:$Q,"&gt;="&amp;N$4,Payments!$Q:$Q,"&lt;"&amp;EDATE(N$4,1)))</f>
        <v/>
      </c>
      <c r="O19" s="116">
        <f t="shared" si="2"/>
        <v>0</v>
      </c>
      <c r="P19" s="116">
        <f>SUMIFS(Payments!$H:$H,Payments!$L:L,"="&amp;$B19,Payments!$Q:$Q,"="&amp;"")</f>
        <v>0</v>
      </c>
      <c r="Q19" s="116">
        <f t="shared" si="3"/>
        <v>0</v>
      </c>
      <c r="R19" s="116">
        <f>VLOOKUP(B19,SETUP!H:K,4,FALSE)</f>
        <v>1500</v>
      </c>
      <c r="S19" s="116">
        <f t="shared" si="4"/>
        <v>1500</v>
      </c>
      <c r="T19" s="163">
        <f t="shared" si="5"/>
        <v>0</v>
      </c>
      <c r="U19" s="163">
        <f>IF(Q19=0,0,IF(AGAR!E$8=0,"No precept",Q19/AGAR!E$8))</f>
        <v>0</v>
      </c>
    </row>
    <row r="20" spans="2:23" x14ac:dyDescent="0.3">
      <c r="B20" s="175" t="str">
        <f>SETUP!H18</f>
        <v>Spare Code</v>
      </c>
      <c r="C20" s="116" t="str">
        <f>IF(SUMIFS(Payments!$H:$H,Payments!$L:$L,"="&amp;$B20,Payments!$Q:$Q,"&gt;="&amp;C$4,Payments!$Q:$Q,"&lt;"&amp;EDATE(C$4,1))=0,"",
SUMIFS(Payments!$H:$H,Payments!$L:$L,"="&amp;$B20,Payments!$Q:$Q,"&gt;="&amp;C$4,Payments!$Q:$Q,"&lt;"&amp;EDATE(C$4,1)))</f>
        <v/>
      </c>
      <c r="D20" s="116" t="str">
        <f>IF(SUMIFS(Payments!$H:$H,Payments!$L:$L,"="&amp;$B20,Payments!$Q:$Q,"&gt;="&amp;D$4,Payments!$Q:$Q,"&lt;"&amp;EDATE(D$4,1))=0,"",
SUMIFS(Payments!$H:$H,Payments!$L:$L,"="&amp;$B20,Payments!$Q:$Q,"&gt;="&amp;D$4,Payments!$Q:$Q,"&lt;"&amp;EDATE(D$4,1)))</f>
        <v/>
      </c>
      <c r="E20" s="116" t="str">
        <f>IF(SUMIFS(Payments!$H:$H,Payments!$L:$L,"="&amp;$B20,Payments!$Q:$Q,"&gt;="&amp;E$4,Payments!$Q:$Q,"&lt;"&amp;EDATE(E$4,1))=0,"",
SUMIFS(Payments!$H:$H,Payments!$L:$L,"="&amp;$B20,Payments!$Q:$Q,"&gt;="&amp;E$4,Payments!$Q:$Q,"&lt;"&amp;EDATE(E$4,1)))</f>
        <v/>
      </c>
      <c r="F20" s="116" t="str">
        <f>IF(SUMIFS(Payments!$H:$H,Payments!$L:$L,"="&amp;$B20,Payments!$Q:$Q,"&gt;="&amp;F$4,Payments!$Q:$Q,"&lt;"&amp;EDATE(F$4,1))=0,"",
SUMIFS(Payments!$H:$H,Payments!$L:$L,"="&amp;$B20,Payments!$Q:$Q,"&gt;="&amp;F$4,Payments!$Q:$Q,"&lt;"&amp;EDATE(F$4,1)))</f>
        <v/>
      </c>
      <c r="G20" s="116" t="str">
        <f>IF(SUMIFS(Payments!$H:$H,Payments!$L:$L,"="&amp;$B20,Payments!$Q:$Q,"&gt;="&amp;G$4,Payments!$Q:$Q,"&lt;"&amp;EDATE(G$4,1))=0,"",
SUMIFS(Payments!$H:$H,Payments!$L:$L,"="&amp;$B20,Payments!$Q:$Q,"&gt;="&amp;G$4,Payments!$Q:$Q,"&lt;"&amp;EDATE(G$4,1)))</f>
        <v/>
      </c>
      <c r="H20" s="116" t="str">
        <f>IF(SUMIFS(Payments!$H:$H,Payments!$L:$L,"="&amp;$B20,Payments!$Q:$Q,"&gt;="&amp;H$4,Payments!$Q:$Q,"&lt;"&amp;EDATE(H$4,1))=0,"",
SUMIFS(Payments!$H:$H,Payments!$L:$L,"="&amp;$B20,Payments!$Q:$Q,"&gt;="&amp;H$4,Payments!$Q:$Q,"&lt;"&amp;EDATE(H$4,1)))</f>
        <v/>
      </c>
      <c r="I20" s="116" t="str">
        <f>IF(SUMIFS(Payments!$H:$H,Payments!$L:$L,"="&amp;$B20,Payments!$Q:$Q,"&gt;="&amp;I$4,Payments!$Q:$Q,"&lt;"&amp;EDATE(I$4,1))=0,"",
SUMIFS(Payments!$H:$H,Payments!$L:$L,"="&amp;$B20,Payments!$Q:$Q,"&gt;="&amp;I$4,Payments!$Q:$Q,"&lt;"&amp;EDATE(I$4,1)))</f>
        <v/>
      </c>
      <c r="J20" s="116" t="str">
        <f>IF(SUMIFS(Payments!$H:$H,Payments!$L:$L,"="&amp;$B20,Payments!$Q:$Q,"&gt;="&amp;J$4,Payments!$Q:$Q,"&lt;"&amp;EDATE(J$4,1))=0,"",
SUMIFS(Payments!$H:$H,Payments!$L:$L,"="&amp;$B20,Payments!$Q:$Q,"&gt;="&amp;J$4,Payments!$Q:$Q,"&lt;"&amp;EDATE(J$4,1)))</f>
        <v/>
      </c>
      <c r="K20" s="116" t="str">
        <f>IF(SUMIFS(Payments!$H:$H,Payments!$L:$L,"="&amp;$B20,Payments!$Q:$Q,"&gt;="&amp;K$4,Payments!$Q:$Q,"&lt;"&amp;EDATE(K$4,1))=0,"",
SUMIFS(Payments!$H:$H,Payments!$L:$L,"="&amp;$B20,Payments!$Q:$Q,"&gt;="&amp;K$4,Payments!$Q:$Q,"&lt;"&amp;EDATE(K$4,1)))</f>
        <v/>
      </c>
      <c r="L20" s="116" t="str">
        <f>IF(SUMIFS(Payments!$H:$H,Payments!$L:$L,"="&amp;$B20,Payments!$Q:$Q,"&gt;="&amp;L$4,Payments!$Q:$Q,"&lt;"&amp;EDATE(L$4,1))=0,"",
SUMIFS(Payments!$H:$H,Payments!$L:$L,"="&amp;$B20,Payments!$Q:$Q,"&gt;="&amp;L$4,Payments!$Q:$Q,"&lt;"&amp;EDATE(L$4,1)))</f>
        <v/>
      </c>
      <c r="M20" s="116" t="str">
        <f>IF(SUMIFS(Payments!$H:$H,Payments!$L:$L,"="&amp;$B20,Payments!$Q:$Q,"&gt;="&amp;M$4,Payments!$Q:$Q,"&lt;"&amp;EDATE(M$4,1))=0,"",
SUMIFS(Payments!$H:$H,Payments!$L:$L,"="&amp;$B20,Payments!$Q:$Q,"&gt;="&amp;M$4,Payments!$Q:$Q,"&lt;"&amp;EDATE(M$4,1)))</f>
        <v/>
      </c>
      <c r="N20" s="116" t="str">
        <f>IF(SUMIFS(Payments!$H:$H,Payments!$L:$L,"="&amp;$B20,Payments!$Q:$Q,"&gt;="&amp;N$4,Payments!$Q:$Q,"&lt;"&amp;EDATE(N$4,1))=0,"",
SUMIFS(Payments!$H:$H,Payments!$L:$L,"="&amp;$B20,Payments!$Q:$Q,"&gt;="&amp;N$4,Payments!$Q:$Q,"&lt;"&amp;EDATE(N$4,1)))</f>
        <v/>
      </c>
      <c r="O20" s="116">
        <f t="shared" ref="O20:O21" si="9">SUM(C20:N20)</f>
        <v>0</v>
      </c>
      <c r="P20" s="116">
        <f>SUMIFS(Payments!$H:$H,Payments!$L:L,"="&amp;$B20,Payments!$Q:$Q,"="&amp;"")</f>
        <v>0</v>
      </c>
      <c r="Q20" s="116">
        <f t="shared" ref="Q20:Q21" si="10">SUM(O20:P20)</f>
        <v>0</v>
      </c>
      <c r="R20" s="116">
        <f>VLOOKUP(B20,SETUP!H:K,4,FALSE)</f>
        <v>0</v>
      </c>
      <c r="S20" s="116">
        <f t="shared" ref="S20:S21" si="11">R20-Q20</f>
        <v>0</v>
      </c>
      <c r="T20" s="163">
        <f t="shared" si="5"/>
        <v>0</v>
      </c>
      <c r="U20" s="163">
        <f>IF(Q20=0,0,IF(AGAR!E$8=0,"No precept",Q20/AGAR!E$8))</f>
        <v>0</v>
      </c>
    </row>
    <row r="21" spans="2:23" x14ac:dyDescent="0.3">
      <c r="B21" s="175" t="str">
        <f>SETUP!H19</f>
        <v>Spare Code</v>
      </c>
      <c r="C21" s="116" t="str">
        <f>IF(SUMIFS(Payments!$H:$H,Payments!$L:$L,"="&amp;$B21,Payments!$Q:$Q,"&gt;="&amp;C$4,Payments!$Q:$Q,"&lt;"&amp;EDATE(C$4,1))=0,"",
SUMIFS(Payments!$H:$H,Payments!$L:$L,"="&amp;$B21,Payments!$Q:$Q,"&gt;="&amp;C$4,Payments!$Q:$Q,"&lt;"&amp;EDATE(C$4,1)))</f>
        <v/>
      </c>
      <c r="D21" s="116" t="str">
        <f>IF(SUMIFS(Payments!$H:$H,Payments!$L:$L,"="&amp;$B21,Payments!$Q:$Q,"&gt;="&amp;D$4,Payments!$Q:$Q,"&lt;"&amp;EDATE(D$4,1))=0,"",
SUMIFS(Payments!$H:$H,Payments!$L:$L,"="&amp;$B21,Payments!$Q:$Q,"&gt;="&amp;D$4,Payments!$Q:$Q,"&lt;"&amp;EDATE(D$4,1)))</f>
        <v/>
      </c>
      <c r="E21" s="116" t="str">
        <f>IF(SUMIFS(Payments!$H:$H,Payments!$L:$L,"="&amp;$B21,Payments!$Q:$Q,"&gt;="&amp;E$4,Payments!$Q:$Q,"&lt;"&amp;EDATE(E$4,1))=0,"",
SUMIFS(Payments!$H:$H,Payments!$L:$L,"="&amp;$B21,Payments!$Q:$Q,"&gt;="&amp;E$4,Payments!$Q:$Q,"&lt;"&amp;EDATE(E$4,1)))</f>
        <v/>
      </c>
      <c r="F21" s="116" t="str">
        <f>IF(SUMIFS(Payments!$H:$H,Payments!$L:$L,"="&amp;$B21,Payments!$Q:$Q,"&gt;="&amp;F$4,Payments!$Q:$Q,"&lt;"&amp;EDATE(F$4,1))=0,"",
SUMIFS(Payments!$H:$H,Payments!$L:$L,"="&amp;$B21,Payments!$Q:$Q,"&gt;="&amp;F$4,Payments!$Q:$Q,"&lt;"&amp;EDATE(F$4,1)))</f>
        <v/>
      </c>
      <c r="G21" s="116" t="str">
        <f>IF(SUMIFS(Payments!$H:$H,Payments!$L:$L,"="&amp;$B21,Payments!$Q:$Q,"&gt;="&amp;G$4,Payments!$Q:$Q,"&lt;"&amp;EDATE(G$4,1))=0,"",
SUMIFS(Payments!$H:$H,Payments!$L:$L,"="&amp;$B21,Payments!$Q:$Q,"&gt;="&amp;G$4,Payments!$Q:$Q,"&lt;"&amp;EDATE(G$4,1)))</f>
        <v/>
      </c>
      <c r="H21" s="116" t="str">
        <f>IF(SUMIFS(Payments!$H:$H,Payments!$L:$L,"="&amp;$B21,Payments!$Q:$Q,"&gt;="&amp;H$4,Payments!$Q:$Q,"&lt;"&amp;EDATE(H$4,1))=0,"",
SUMIFS(Payments!$H:$H,Payments!$L:$L,"="&amp;$B21,Payments!$Q:$Q,"&gt;="&amp;H$4,Payments!$Q:$Q,"&lt;"&amp;EDATE(H$4,1)))</f>
        <v/>
      </c>
      <c r="I21" s="116" t="str">
        <f>IF(SUMIFS(Payments!$H:$H,Payments!$L:$L,"="&amp;$B21,Payments!$Q:$Q,"&gt;="&amp;I$4,Payments!$Q:$Q,"&lt;"&amp;EDATE(I$4,1))=0,"",
SUMIFS(Payments!$H:$H,Payments!$L:$L,"="&amp;$B21,Payments!$Q:$Q,"&gt;="&amp;I$4,Payments!$Q:$Q,"&lt;"&amp;EDATE(I$4,1)))</f>
        <v/>
      </c>
      <c r="J21" s="116" t="str">
        <f>IF(SUMIFS(Payments!$H:$H,Payments!$L:$L,"="&amp;$B21,Payments!$Q:$Q,"&gt;="&amp;J$4,Payments!$Q:$Q,"&lt;"&amp;EDATE(J$4,1))=0,"",
SUMIFS(Payments!$H:$H,Payments!$L:$L,"="&amp;$B21,Payments!$Q:$Q,"&gt;="&amp;J$4,Payments!$Q:$Q,"&lt;"&amp;EDATE(J$4,1)))</f>
        <v/>
      </c>
      <c r="K21" s="116" t="str">
        <f>IF(SUMIFS(Payments!$H:$H,Payments!$L:$L,"="&amp;$B21,Payments!$Q:$Q,"&gt;="&amp;K$4,Payments!$Q:$Q,"&lt;"&amp;EDATE(K$4,1))=0,"",
SUMIFS(Payments!$H:$H,Payments!$L:$L,"="&amp;$B21,Payments!$Q:$Q,"&gt;="&amp;K$4,Payments!$Q:$Q,"&lt;"&amp;EDATE(K$4,1)))</f>
        <v/>
      </c>
      <c r="L21" s="116" t="str">
        <f>IF(SUMIFS(Payments!$H:$H,Payments!$L:$L,"="&amp;$B21,Payments!$Q:$Q,"&gt;="&amp;L$4,Payments!$Q:$Q,"&lt;"&amp;EDATE(L$4,1))=0,"",
SUMIFS(Payments!$H:$H,Payments!$L:$L,"="&amp;$B21,Payments!$Q:$Q,"&gt;="&amp;L$4,Payments!$Q:$Q,"&lt;"&amp;EDATE(L$4,1)))</f>
        <v/>
      </c>
      <c r="M21" s="116" t="str">
        <f>IF(SUMIFS(Payments!$H:$H,Payments!$L:$L,"="&amp;$B21,Payments!$Q:$Q,"&gt;="&amp;M$4,Payments!$Q:$Q,"&lt;"&amp;EDATE(M$4,1))=0,"",
SUMIFS(Payments!$H:$H,Payments!$L:$L,"="&amp;$B21,Payments!$Q:$Q,"&gt;="&amp;M$4,Payments!$Q:$Q,"&lt;"&amp;EDATE(M$4,1)))</f>
        <v/>
      </c>
      <c r="N21" s="116" t="str">
        <f>IF(SUMIFS(Payments!$H:$H,Payments!$L:$L,"="&amp;$B21,Payments!$Q:$Q,"&gt;="&amp;N$4,Payments!$Q:$Q,"&lt;"&amp;EDATE(N$4,1))=0,"",
SUMIFS(Payments!$H:$H,Payments!$L:$L,"="&amp;$B21,Payments!$Q:$Q,"&gt;="&amp;N$4,Payments!$Q:$Q,"&lt;"&amp;EDATE(N$4,1)))</f>
        <v/>
      </c>
      <c r="O21" s="116">
        <f t="shared" si="9"/>
        <v>0</v>
      </c>
      <c r="P21" s="116">
        <f>SUMIFS(Payments!$H:$H,Payments!$L:L,"="&amp;$B21,Payments!$Q:$Q,"="&amp;"")</f>
        <v>0</v>
      </c>
      <c r="Q21" s="116">
        <f t="shared" si="10"/>
        <v>0</v>
      </c>
      <c r="R21" s="116">
        <f>VLOOKUP(B21,SETUP!H:K,4,FALSE)</f>
        <v>0</v>
      </c>
      <c r="S21" s="116">
        <f t="shared" si="11"/>
        <v>0</v>
      </c>
      <c r="T21" s="163">
        <f t="shared" si="5"/>
        <v>0</v>
      </c>
      <c r="U21" s="163">
        <f>IF(Q21=0,0,IF(AGAR!E$8=0,"No precept",Q21/AGAR!E$8))</f>
        <v>0</v>
      </c>
    </row>
    <row r="22" spans="2:23" s="150" customFormat="1" x14ac:dyDescent="0.3">
      <c r="B22" s="27" t="str">
        <f>"Total "&amp;B6</f>
        <v>Total Administration</v>
      </c>
      <c r="C22" s="165">
        <f>SUM(C7:C21)</f>
        <v>7947.16</v>
      </c>
      <c r="D22" s="165">
        <f t="shared" ref="D22:U22" si="12">SUM(D7:D21)</f>
        <v>7906.5099999999993</v>
      </c>
      <c r="E22" s="165">
        <f t="shared" si="12"/>
        <v>0</v>
      </c>
      <c r="F22" s="165">
        <f t="shared" si="12"/>
        <v>0</v>
      </c>
      <c r="G22" s="165">
        <f t="shared" si="12"/>
        <v>0</v>
      </c>
      <c r="H22" s="165">
        <f t="shared" si="12"/>
        <v>0</v>
      </c>
      <c r="I22" s="165">
        <f t="shared" si="12"/>
        <v>0</v>
      </c>
      <c r="J22" s="165">
        <f t="shared" si="12"/>
        <v>0</v>
      </c>
      <c r="K22" s="165">
        <f t="shared" si="12"/>
        <v>0</v>
      </c>
      <c r="L22" s="165">
        <f t="shared" si="12"/>
        <v>0</v>
      </c>
      <c r="M22" s="165">
        <f t="shared" si="12"/>
        <v>0</v>
      </c>
      <c r="N22" s="165">
        <f t="shared" si="12"/>
        <v>0</v>
      </c>
      <c r="O22" s="165">
        <f t="shared" si="12"/>
        <v>15853.67</v>
      </c>
      <c r="P22" s="165">
        <f t="shared" si="12"/>
        <v>0</v>
      </c>
      <c r="Q22" s="165">
        <f t="shared" si="12"/>
        <v>15853.67</v>
      </c>
      <c r="R22" s="165">
        <f t="shared" si="12"/>
        <v>103866</v>
      </c>
      <c r="S22" s="165">
        <f t="shared" si="12"/>
        <v>88012.330000000016</v>
      </c>
      <c r="T22" s="166">
        <f t="shared" si="12"/>
        <v>0.40055063594484963</v>
      </c>
      <c r="U22" s="166">
        <f t="shared" si="12"/>
        <v>0.10181340029413087</v>
      </c>
      <c r="W22" s="201"/>
    </row>
    <row r="24" spans="2:23" x14ac:dyDescent="0.3">
      <c r="B24" s="174" t="str">
        <f>SETUP!H20</f>
        <v>Governance</v>
      </c>
      <c r="C24" s="160" t="str">
        <f>IF(SUMIFS(Payments!$H:$H,Payments!$L:$L,"="&amp;$B24,Payments!$Q:$Q,"&gt;="&amp;C$4,Payments!$Q:$Q,"&lt;"&amp;EDATE(C$4,1))=0,"",
SUMIFS(Payments!$H:$H,Payments!$L:$L,"="&amp;$B24,Payments!$Q:$Q,"&gt;="&amp;C$4,Payments!$Q:$Q,"&lt;"&amp;EDATE(C$4,1)))</f>
        <v/>
      </c>
      <c r="D24" s="160" t="str">
        <f>IF(SUMIFS(Payments!$H:$H,Payments!$L:$L,"="&amp;$B24,Payments!$Q:$Q,"&gt;="&amp;D$4,Payments!$Q:$Q,"&lt;"&amp;EDATE(D$4,1))=0,"",
SUMIFS(Payments!$H:$H,Payments!$L:$L,"="&amp;$B24,Payments!$Q:$Q,"&gt;="&amp;D$4,Payments!$Q:$Q,"&lt;"&amp;EDATE(D$4,1)))</f>
        <v/>
      </c>
      <c r="E24" s="160" t="str">
        <f>IF(SUMIFS(Payments!$H:$H,Payments!$L:$L,"="&amp;$B24,Payments!$Q:$Q,"&gt;="&amp;E$4,Payments!$Q:$Q,"&lt;"&amp;EDATE(E$4,1))=0,"",
SUMIFS(Payments!$H:$H,Payments!$L:$L,"="&amp;$B24,Payments!$Q:$Q,"&gt;="&amp;E$4,Payments!$Q:$Q,"&lt;"&amp;EDATE(E$4,1)))</f>
        <v/>
      </c>
      <c r="F24" s="160" t="str">
        <f>IF(SUMIFS(Payments!$H:$H,Payments!$L:$L,"="&amp;$B24,Payments!$Q:$Q,"&gt;="&amp;F$4,Payments!$Q:$Q,"&lt;"&amp;EDATE(F$4,1))=0,"",
SUMIFS(Payments!$H:$H,Payments!$L:$L,"="&amp;$B24,Payments!$Q:$Q,"&gt;="&amp;F$4,Payments!$Q:$Q,"&lt;"&amp;EDATE(F$4,1)))</f>
        <v/>
      </c>
      <c r="G24" s="160" t="str">
        <f>IF(SUMIFS(Payments!$H:$H,Payments!$L:$L,"="&amp;$B24,Payments!$Q:$Q,"&gt;="&amp;G$4,Payments!$Q:$Q,"&lt;"&amp;EDATE(G$4,1))=0,"",
SUMIFS(Payments!$H:$H,Payments!$L:$L,"="&amp;$B24,Payments!$Q:$Q,"&gt;="&amp;G$4,Payments!$Q:$Q,"&lt;"&amp;EDATE(G$4,1)))</f>
        <v/>
      </c>
      <c r="H24" s="160" t="str">
        <f>IF(SUMIFS(Payments!$H:$H,Payments!$L:$L,"="&amp;$B24,Payments!$Q:$Q,"&gt;="&amp;H$4,Payments!$Q:$Q,"&lt;"&amp;EDATE(H$4,1))=0,"",
SUMIFS(Payments!$H:$H,Payments!$L:$L,"="&amp;$B24,Payments!$Q:$Q,"&gt;="&amp;H$4,Payments!$Q:$Q,"&lt;"&amp;EDATE(H$4,1)))</f>
        <v/>
      </c>
      <c r="I24" s="160" t="str">
        <f>IF(SUMIFS(Payments!$H:$H,Payments!$L:$L,"="&amp;$B24,Payments!$Q:$Q,"&gt;="&amp;I$4,Payments!$Q:$Q,"&lt;"&amp;EDATE(I$4,1))=0,"",
SUMIFS(Payments!$H:$H,Payments!$L:$L,"="&amp;$B24,Payments!$Q:$Q,"&gt;="&amp;I$4,Payments!$Q:$Q,"&lt;"&amp;EDATE(I$4,1)))</f>
        <v/>
      </c>
      <c r="J24" s="160" t="str">
        <f>IF(SUMIFS(Payments!$H:$H,Payments!$L:$L,"="&amp;$B24,Payments!$Q:$Q,"&gt;="&amp;J$4,Payments!$Q:$Q,"&lt;"&amp;EDATE(J$4,1))=0,"",
SUMIFS(Payments!$H:$H,Payments!$L:$L,"="&amp;$B24,Payments!$Q:$Q,"&gt;="&amp;J$4,Payments!$Q:$Q,"&lt;"&amp;EDATE(J$4,1)))</f>
        <v/>
      </c>
      <c r="K24" s="160" t="str">
        <f>IF(SUMIFS(Payments!$H:$H,Payments!$L:$L,"="&amp;$B24,Payments!$Q:$Q,"&gt;="&amp;K$4,Payments!$Q:$Q,"&lt;"&amp;EDATE(K$4,1))=0,"",
SUMIFS(Payments!$H:$H,Payments!$L:$L,"="&amp;$B24,Payments!$Q:$Q,"&gt;="&amp;K$4,Payments!$Q:$Q,"&lt;"&amp;EDATE(K$4,1)))</f>
        <v/>
      </c>
      <c r="L24" s="160" t="str">
        <f>IF(SUMIFS(Payments!$H:$H,Payments!$L:$L,"="&amp;$B24,Payments!$Q:$Q,"&gt;="&amp;L$4,Payments!$Q:$Q,"&lt;"&amp;EDATE(L$4,1))=0,"",
SUMIFS(Payments!$H:$H,Payments!$L:$L,"="&amp;$B24,Payments!$Q:$Q,"&gt;="&amp;L$4,Payments!$Q:$Q,"&lt;"&amp;EDATE(L$4,1)))</f>
        <v/>
      </c>
      <c r="M24" s="160" t="str">
        <f>IF(SUMIFS(Payments!$H:$H,Payments!$L:$L,"="&amp;$B24,Payments!$Q:$Q,"&gt;="&amp;M$4,Payments!$Q:$Q,"&lt;"&amp;EDATE(M$4,1))=0,"",
SUMIFS(Payments!$H:$H,Payments!$L:$L,"="&amp;$B24,Payments!$Q:$Q,"&gt;="&amp;M$4,Payments!$Q:$Q,"&lt;"&amp;EDATE(M$4,1)))</f>
        <v/>
      </c>
      <c r="N24" s="160" t="str">
        <f>IF(SUMIFS(Payments!$H:$H,Payments!$L:$L,"="&amp;$B24,Payments!$Q:$Q,"&gt;="&amp;N$4,Payments!$Q:$Q,"&lt;"&amp;EDATE(N$4,1))=0,"",
SUMIFS(Payments!$H:$H,Payments!$L:$L,"="&amp;$B24,Payments!$Q:$Q,"&gt;="&amp;N$4,Payments!$Q:$Q,"&lt;"&amp;EDATE(N$4,1)))</f>
        <v/>
      </c>
      <c r="O24" s="160"/>
      <c r="P24" s="160"/>
      <c r="Q24" s="160"/>
      <c r="R24" s="160"/>
      <c r="S24" s="160"/>
      <c r="T24" s="161"/>
      <c r="U24" s="162"/>
    </row>
    <row r="25" spans="2:23" x14ac:dyDescent="0.3">
      <c r="B25" s="175" t="str">
        <f>SETUP!H21</f>
        <v>Insurance</v>
      </c>
      <c r="C25" s="116" t="str">
        <f>IF(SUMIFS(Payments!$H:$H,Payments!$L:$L,"="&amp;$B25,Payments!$Q:$Q,"&gt;="&amp;C$4,Payments!$Q:$Q,"&lt;"&amp;EDATE(C$4,1))=0,"",
SUMIFS(Payments!$H:$H,Payments!$L:$L,"="&amp;$B25,Payments!$Q:$Q,"&gt;="&amp;C$4,Payments!$Q:$Q,"&lt;"&amp;EDATE(C$4,1)))</f>
        <v/>
      </c>
      <c r="D25" s="116" t="str">
        <f>IF(SUMIFS(Payments!$H:$H,Payments!$L:$L,"="&amp;$B25,Payments!$Q:$Q,"&gt;="&amp;D$4,Payments!$Q:$Q,"&lt;"&amp;EDATE(D$4,1))=0,"",
SUMIFS(Payments!$H:$H,Payments!$L:$L,"="&amp;$B25,Payments!$Q:$Q,"&gt;="&amp;D$4,Payments!$Q:$Q,"&lt;"&amp;EDATE(D$4,1)))</f>
        <v/>
      </c>
      <c r="E25" s="116" t="str">
        <f>IF(SUMIFS(Payments!$H:$H,Payments!$L:$L,"="&amp;$B25,Payments!$Q:$Q,"&gt;="&amp;E$4,Payments!$Q:$Q,"&lt;"&amp;EDATE(E$4,1))=0,"",
SUMIFS(Payments!$H:$H,Payments!$L:$L,"="&amp;$B25,Payments!$Q:$Q,"&gt;="&amp;E$4,Payments!$Q:$Q,"&lt;"&amp;EDATE(E$4,1)))</f>
        <v/>
      </c>
      <c r="F25" s="116" t="str">
        <f>IF(SUMIFS(Payments!$H:$H,Payments!$L:$L,"="&amp;$B25,Payments!$Q:$Q,"&gt;="&amp;F$4,Payments!$Q:$Q,"&lt;"&amp;EDATE(F$4,1))=0,"",
SUMIFS(Payments!$H:$H,Payments!$L:$L,"="&amp;$B25,Payments!$Q:$Q,"&gt;="&amp;F$4,Payments!$Q:$Q,"&lt;"&amp;EDATE(F$4,1)))</f>
        <v/>
      </c>
      <c r="G25" s="116" t="str">
        <f>IF(SUMIFS(Payments!$H:$H,Payments!$L:$L,"="&amp;$B25,Payments!$Q:$Q,"&gt;="&amp;G$4,Payments!$Q:$Q,"&lt;"&amp;EDATE(G$4,1))=0,"",
SUMIFS(Payments!$H:$H,Payments!$L:$L,"="&amp;$B25,Payments!$Q:$Q,"&gt;="&amp;G$4,Payments!$Q:$Q,"&lt;"&amp;EDATE(G$4,1)))</f>
        <v/>
      </c>
      <c r="H25" s="116" t="str">
        <f>IF(SUMIFS(Payments!$H:$H,Payments!$L:$L,"="&amp;$B25,Payments!$Q:$Q,"&gt;="&amp;H$4,Payments!$Q:$Q,"&lt;"&amp;EDATE(H$4,1))=0,"",
SUMIFS(Payments!$H:$H,Payments!$L:$L,"="&amp;$B25,Payments!$Q:$Q,"&gt;="&amp;H$4,Payments!$Q:$Q,"&lt;"&amp;EDATE(H$4,1)))</f>
        <v/>
      </c>
      <c r="I25" s="116" t="str">
        <f>IF(SUMIFS(Payments!$H:$H,Payments!$L:$L,"="&amp;$B25,Payments!$Q:$Q,"&gt;="&amp;I$4,Payments!$Q:$Q,"&lt;"&amp;EDATE(I$4,1))=0,"",
SUMIFS(Payments!$H:$H,Payments!$L:$L,"="&amp;$B25,Payments!$Q:$Q,"&gt;="&amp;I$4,Payments!$Q:$Q,"&lt;"&amp;EDATE(I$4,1)))</f>
        <v/>
      </c>
      <c r="J25" s="116" t="str">
        <f>IF(SUMIFS(Payments!$H:$H,Payments!$L:$L,"="&amp;$B25,Payments!$Q:$Q,"&gt;="&amp;J$4,Payments!$Q:$Q,"&lt;"&amp;EDATE(J$4,1))=0,"",
SUMIFS(Payments!$H:$H,Payments!$L:$L,"="&amp;$B25,Payments!$Q:$Q,"&gt;="&amp;J$4,Payments!$Q:$Q,"&lt;"&amp;EDATE(J$4,1)))</f>
        <v/>
      </c>
      <c r="K25" s="116" t="str">
        <f>IF(SUMIFS(Payments!$H:$H,Payments!$L:$L,"="&amp;$B25,Payments!$Q:$Q,"&gt;="&amp;K$4,Payments!$Q:$Q,"&lt;"&amp;EDATE(K$4,1))=0,"",
SUMIFS(Payments!$H:$H,Payments!$L:$L,"="&amp;$B25,Payments!$Q:$Q,"&gt;="&amp;K$4,Payments!$Q:$Q,"&lt;"&amp;EDATE(K$4,1)))</f>
        <v/>
      </c>
      <c r="L25" s="116" t="str">
        <f>IF(SUMIFS(Payments!$H:$H,Payments!$L:$L,"="&amp;$B25,Payments!$Q:$Q,"&gt;="&amp;L$4,Payments!$Q:$Q,"&lt;"&amp;EDATE(L$4,1))=0,"",
SUMIFS(Payments!$H:$H,Payments!$L:$L,"="&amp;$B25,Payments!$Q:$Q,"&gt;="&amp;L$4,Payments!$Q:$Q,"&lt;"&amp;EDATE(L$4,1)))</f>
        <v/>
      </c>
      <c r="M25" s="116" t="str">
        <f>IF(SUMIFS(Payments!$H:$H,Payments!$L:$L,"="&amp;$B25,Payments!$Q:$Q,"&gt;="&amp;M$4,Payments!$Q:$Q,"&lt;"&amp;EDATE(M$4,1))=0,"",
SUMIFS(Payments!$H:$H,Payments!$L:$L,"="&amp;$B25,Payments!$Q:$Q,"&gt;="&amp;M$4,Payments!$Q:$Q,"&lt;"&amp;EDATE(M$4,1)))</f>
        <v/>
      </c>
      <c r="N25" s="116" t="str">
        <f>IF(SUMIFS(Payments!$H:$H,Payments!$L:$L,"="&amp;$B25,Payments!$Q:$Q,"&gt;="&amp;N$4,Payments!$Q:$Q,"&lt;"&amp;EDATE(N$4,1))=0,"",
SUMIFS(Payments!$H:$H,Payments!$L:$L,"="&amp;$B25,Payments!$Q:$Q,"&gt;="&amp;N$4,Payments!$Q:$Q,"&lt;"&amp;EDATE(N$4,1)))</f>
        <v/>
      </c>
      <c r="O25" s="116">
        <f t="shared" ref="O25:O26" si="13">SUM(C25:N25)</f>
        <v>0</v>
      </c>
      <c r="P25" s="116">
        <f>SUMIFS(Payments!$H:$H,Payments!$L:L,"="&amp;$B25,Payments!$Q:$Q,"="&amp;"")</f>
        <v>0</v>
      </c>
      <c r="Q25" s="116">
        <f t="shared" ref="Q25:Q26" si="14">SUM(O25:P25)</f>
        <v>0</v>
      </c>
      <c r="R25" s="116">
        <f>VLOOKUP(B25,SETUP!H:K,4,FALSE)</f>
        <v>2500</v>
      </c>
      <c r="S25" s="116">
        <f t="shared" ref="S25:S26" si="15">R25-Q25</f>
        <v>2500</v>
      </c>
      <c r="T25" s="163">
        <f t="shared" ref="T25:T31" si="16">IF(Q25=0,0,Q25/Q$86)</f>
        <v>0</v>
      </c>
      <c r="U25" s="163">
        <f>IF(Q25=0,0,IF(AGAR!E$8=0,"No precept",Q25/AGAR!E$8))</f>
        <v>0</v>
      </c>
      <c r="W25" s="266"/>
    </row>
    <row r="26" spans="2:23" x14ac:dyDescent="0.3">
      <c r="B26" s="175" t="str">
        <f>SETUP!H22</f>
        <v>Bank Charges</v>
      </c>
      <c r="C26" s="116">
        <f>IF(SUMIFS(Payments!$H:$H,Payments!$L:$L,"="&amp;$B26,Payments!$Q:$Q,"&gt;="&amp;C$4,Payments!$Q:$Q,"&lt;"&amp;EDATE(C$4,1))=0,"",
SUMIFS(Payments!$H:$H,Payments!$L:$L,"="&amp;$B26,Payments!$Q:$Q,"&gt;="&amp;C$4,Payments!$Q:$Q,"&lt;"&amp;EDATE(C$4,1)))</f>
        <v>51.55</v>
      </c>
      <c r="D26" s="118">
        <f>IF(SUMIFS(Payments!$H:$H,Payments!$L:$L,"="&amp;$B26,Payments!$Q:$Q,"&gt;="&amp;D$4,Payments!$Q:$Q,"&lt;"&amp;EDATE(D$4,1))=0,"",
SUMIFS(Payments!$H:$H,Payments!$L:$L,"="&amp;$B26,Payments!$Q:$Q,"&gt;="&amp;D$4,Payments!$Q:$Q,"&lt;"&amp;EDATE(D$4,1)))</f>
        <v>54.2</v>
      </c>
      <c r="E26" s="116" t="str">
        <f>IF(SUMIFS(Payments!$H:$H,Payments!$L:$L,"="&amp;$B26,Payments!$Q:$Q,"&gt;="&amp;E$4,Payments!$Q:$Q,"&lt;"&amp;EDATE(E$4,1))=0,"",
SUMIFS(Payments!$H:$H,Payments!$L:$L,"="&amp;$B26,Payments!$Q:$Q,"&gt;="&amp;E$4,Payments!$Q:$Q,"&lt;"&amp;EDATE(E$4,1)))</f>
        <v/>
      </c>
      <c r="F26" s="116" t="str">
        <f>IF(SUMIFS(Payments!$H:$H,Payments!$L:$L,"="&amp;$B26,Payments!$Q:$Q,"&gt;="&amp;F$4,Payments!$Q:$Q,"&lt;"&amp;EDATE(F$4,1))=0,"",
SUMIFS(Payments!$H:$H,Payments!$L:$L,"="&amp;$B26,Payments!$Q:$Q,"&gt;="&amp;F$4,Payments!$Q:$Q,"&lt;"&amp;EDATE(F$4,1)))</f>
        <v/>
      </c>
      <c r="G26" s="116" t="str">
        <f>IF(SUMIFS(Payments!$H:$H,Payments!$L:$L,"="&amp;$B26,Payments!$Q:$Q,"&gt;="&amp;G$4,Payments!$Q:$Q,"&lt;"&amp;EDATE(G$4,1))=0,"",
SUMIFS(Payments!$H:$H,Payments!$L:$L,"="&amp;$B26,Payments!$Q:$Q,"&gt;="&amp;G$4,Payments!$Q:$Q,"&lt;"&amp;EDATE(G$4,1)))</f>
        <v/>
      </c>
      <c r="H26" s="116" t="str">
        <f>IF(SUMIFS(Payments!$H:$H,Payments!$L:$L,"="&amp;$B26,Payments!$Q:$Q,"&gt;="&amp;H$4,Payments!$Q:$Q,"&lt;"&amp;EDATE(H$4,1))=0,"",
SUMIFS(Payments!$H:$H,Payments!$L:$L,"="&amp;$B26,Payments!$Q:$Q,"&gt;="&amp;H$4,Payments!$Q:$Q,"&lt;"&amp;EDATE(H$4,1)))</f>
        <v/>
      </c>
      <c r="I26" s="116" t="str">
        <f>IF(SUMIFS(Payments!$H:$H,Payments!$L:$L,"="&amp;$B26,Payments!$Q:$Q,"&gt;="&amp;I$4,Payments!$Q:$Q,"&lt;"&amp;EDATE(I$4,1))=0,"",
SUMIFS(Payments!$H:$H,Payments!$L:$L,"="&amp;$B26,Payments!$Q:$Q,"&gt;="&amp;I$4,Payments!$Q:$Q,"&lt;"&amp;EDATE(I$4,1)))</f>
        <v/>
      </c>
      <c r="J26" s="116" t="str">
        <f>IF(SUMIFS(Payments!$H:$H,Payments!$L:$L,"="&amp;$B26,Payments!$Q:$Q,"&gt;="&amp;J$4,Payments!$Q:$Q,"&lt;"&amp;EDATE(J$4,1))=0,"",
SUMIFS(Payments!$H:$H,Payments!$L:$L,"="&amp;$B26,Payments!$Q:$Q,"&gt;="&amp;J$4,Payments!$Q:$Q,"&lt;"&amp;EDATE(J$4,1)))</f>
        <v/>
      </c>
      <c r="K26" s="116" t="str">
        <f>IF(SUMIFS(Payments!$H:$H,Payments!$L:$L,"="&amp;$B26,Payments!$Q:$Q,"&gt;="&amp;K$4,Payments!$Q:$Q,"&lt;"&amp;EDATE(K$4,1))=0,"",
SUMIFS(Payments!$H:$H,Payments!$L:$L,"="&amp;$B26,Payments!$Q:$Q,"&gt;="&amp;K$4,Payments!$Q:$Q,"&lt;"&amp;EDATE(K$4,1)))</f>
        <v/>
      </c>
      <c r="L26" s="116" t="str">
        <f>IF(SUMIFS(Payments!$H:$H,Payments!$L:$L,"="&amp;$B26,Payments!$Q:$Q,"&gt;="&amp;L$4,Payments!$Q:$Q,"&lt;"&amp;EDATE(L$4,1))=0,"",
SUMIFS(Payments!$H:$H,Payments!$L:$L,"="&amp;$B26,Payments!$Q:$Q,"&gt;="&amp;L$4,Payments!$Q:$Q,"&lt;"&amp;EDATE(L$4,1)))</f>
        <v/>
      </c>
      <c r="M26" s="116" t="str">
        <f>IF(SUMIFS(Payments!$H:$H,Payments!$L:$L,"="&amp;$B26,Payments!$Q:$Q,"&gt;="&amp;M$4,Payments!$Q:$Q,"&lt;"&amp;EDATE(M$4,1))=0,"",
SUMIFS(Payments!$H:$H,Payments!$L:$L,"="&amp;$B26,Payments!$Q:$Q,"&gt;="&amp;M$4,Payments!$Q:$Q,"&lt;"&amp;EDATE(M$4,1)))</f>
        <v/>
      </c>
      <c r="N26" s="116" t="str">
        <f>IF(SUMIFS(Payments!$H:$H,Payments!$L:$L,"="&amp;$B26,Payments!$Q:$Q,"&gt;="&amp;N$4,Payments!$Q:$Q,"&lt;"&amp;EDATE(N$4,1))=0,"",
SUMIFS(Payments!$H:$H,Payments!$L:$L,"="&amp;$B26,Payments!$Q:$Q,"&gt;="&amp;N$4,Payments!$Q:$Q,"&lt;"&amp;EDATE(N$4,1)))</f>
        <v/>
      </c>
      <c r="O26" s="116">
        <f t="shared" si="13"/>
        <v>105.75</v>
      </c>
      <c r="P26" s="116">
        <f>SUMIFS(Payments!$H:$H,Payments!$L:L,"="&amp;$B26,Payments!$Q:$Q,"="&amp;"")</f>
        <v>0</v>
      </c>
      <c r="Q26" s="116">
        <f t="shared" si="14"/>
        <v>105.75</v>
      </c>
      <c r="R26" s="116">
        <f>VLOOKUP(B26,SETUP!H:K,4,FALSE)</f>
        <v>300</v>
      </c>
      <c r="S26" s="116">
        <f t="shared" si="15"/>
        <v>194.25</v>
      </c>
      <c r="T26" s="163">
        <f t="shared" si="16"/>
        <v>2.6718248677541443E-3</v>
      </c>
      <c r="U26" s="163">
        <f>IF(Q26=0,0,IF(AGAR!E$8=0,"No precept",Q26/AGAR!E$8))</f>
        <v>6.7913404789580827E-4</v>
      </c>
    </row>
    <row r="27" spans="2:23" x14ac:dyDescent="0.3">
      <c r="B27" s="175" t="str">
        <f>SETUP!H23</f>
        <v>Audit Fees</v>
      </c>
      <c r="C27" s="116" t="str">
        <f>IF(SUMIFS(Payments!$H:$H,Payments!$L:$L,"="&amp;$B27,Payments!$Q:$Q,"&gt;="&amp;C$4,Payments!$Q:$Q,"&lt;"&amp;EDATE(C$4,1))=0,"",
SUMIFS(Payments!$H:$H,Payments!$L:$L,"="&amp;$B27,Payments!$Q:$Q,"&gt;="&amp;C$4,Payments!$Q:$Q,"&lt;"&amp;EDATE(C$4,1)))</f>
        <v/>
      </c>
      <c r="D27" s="116" t="str">
        <f>IF(SUMIFS(Payments!$H:$H,Payments!$L:$L,"="&amp;$B27,Payments!$Q:$Q,"&gt;="&amp;D$4,Payments!$Q:$Q,"&lt;"&amp;EDATE(D$4,1))=0,"",
SUMIFS(Payments!$H:$H,Payments!$L:$L,"="&amp;$B27,Payments!$Q:$Q,"&gt;="&amp;D$4,Payments!$Q:$Q,"&lt;"&amp;EDATE(D$4,1)))</f>
        <v/>
      </c>
      <c r="E27" s="116" t="str">
        <f>IF(SUMIFS(Payments!$H:$H,Payments!$L:$L,"="&amp;$B27,Payments!$Q:$Q,"&gt;="&amp;E$4,Payments!$Q:$Q,"&lt;"&amp;EDATE(E$4,1))=0,"",
SUMIFS(Payments!$H:$H,Payments!$L:$L,"="&amp;$B27,Payments!$Q:$Q,"&gt;="&amp;E$4,Payments!$Q:$Q,"&lt;"&amp;EDATE(E$4,1)))</f>
        <v/>
      </c>
      <c r="F27" s="116" t="str">
        <f>IF(SUMIFS(Payments!$H:$H,Payments!$L:$L,"="&amp;$B27,Payments!$Q:$Q,"&gt;="&amp;F$4,Payments!$Q:$Q,"&lt;"&amp;EDATE(F$4,1))=0,"",
SUMIFS(Payments!$H:$H,Payments!$L:$L,"="&amp;$B27,Payments!$Q:$Q,"&gt;="&amp;F$4,Payments!$Q:$Q,"&lt;"&amp;EDATE(F$4,1)))</f>
        <v/>
      </c>
      <c r="G27" s="116" t="str">
        <f>IF(SUMIFS(Payments!$H:$H,Payments!$L:$L,"="&amp;$B27,Payments!$Q:$Q,"&gt;="&amp;G$4,Payments!$Q:$Q,"&lt;"&amp;EDATE(G$4,1))=0,"",
SUMIFS(Payments!$H:$H,Payments!$L:$L,"="&amp;$B27,Payments!$Q:$Q,"&gt;="&amp;G$4,Payments!$Q:$Q,"&lt;"&amp;EDATE(G$4,1)))</f>
        <v/>
      </c>
      <c r="H27" s="116" t="str">
        <f>IF(SUMIFS(Payments!$H:$H,Payments!$L:$L,"="&amp;$B27,Payments!$Q:$Q,"&gt;="&amp;H$4,Payments!$Q:$Q,"&lt;"&amp;EDATE(H$4,1))=0,"",
SUMIFS(Payments!$H:$H,Payments!$L:$L,"="&amp;$B27,Payments!$Q:$Q,"&gt;="&amp;H$4,Payments!$Q:$Q,"&lt;"&amp;EDATE(H$4,1)))</f>
        <v/>
      </c>
      <c r="I27" s="116" t="str">
        <f>IF(SUMIFS(Payments!$H:$H,Payments!$L:$L,"="&amp;$B27,Payments!$Q:$Q,"&gt;="&amp;I$4,Payments!$Q:$Q,"&lt;"&amp;EDATE(I$4,1))=0,"",
SUMIFS(Payments!$H:$H,Payments!$L:$L,"="&amp;$B27,Payments!$Q:$Q,"&gt;="&amp;I$4,Payments!$Q:$Q,"&lt;"&amp;EDATE(I$4,1)))</f>
        <v/>
      </c>
      <c r="J27" s="116" t="str">
        <f>IF(SUMIFS(Payments!$H:$H,Payments!$L:$L,"="&amp;$B27,Payments!$Q:$Q,"&gt;="&amp;J$4,Payments!$Q:$Q,"&lt;"&amp;EDATE(J$4,1))=0,"",
SUMIFS(Payments!$H:$H,Payments!$L:$L,"="&amp;$B27,Payments!$Q:$Q,"&gt;="&amp;J$4,Payments!$Q:$Q,"&lt;"&amp;EDATE(J$4,1)))</f>
        <v/>
      </c>
      <c r="K27" s="116" t="str">
        <f>IF(SUMIFS(Payments!$H:$H,Payments!$L:$L,"="&amp;$B27,Payments!$Q:$Q,"&gt;="&amp;K$4,Payments!$Q:$Q,"&lt;"&amp;EDATE(K$4,1))=0,"",
SUMIFS(Payments!$H:$H,Payments!$L:$L,"="&amp;$B27,Payments!$Q:$Q,"&gt;="&amp;K$4,Payments!$Q:$Q,"&lt;"&amp;EDATE(K$4,1)))</f>
        <v/>
      </c>
      <c r="L27" s="116" t="str">
        <f>IF(SUMIFS(Payments!$H:$H,Payments!$L:$L,"="&amp;$B27,Payments!$Q:$Q,"&gt;="&amp;L$4,Payments!$Q:$Q,"&lt;"&amp;EDATE(L$4,1))=0,"",
SUMIFS(Payments!$H:$H,Payments!$L:$L,"="&amp;$B27,Payments!$Q:$Q,"&gt;="&amp;L$4,Payments!$Q:$Q,"&lt;"&amp;EDATE(L$4,1)))</f>
        <v/>
      </c>
      <c r="M27" s="116" t="str">
        <f>IF(SUMIFS(Payments!$H:$H,Payments!$L:$L,"="&amp;$B27,Payments!$Q:$Q,"&gt;="&amp;M$4,Payments!$Q:$Q,"&lt;"&amp;EDATE(M$4,1))=0,"",
SUMIFS(Payments!$H:$H,Payments!$L:$L,"="&amp;$B27,Payments!$Q:$Q,"&gt;="&amp;M$4,Payments!$Q:$Q,"&lt;"&amp;EDATE(M$4,1)))</f>
        <v/>
      </c>
      <c r="N27" s="116" t="str">
        <f>IF(SUMIFS(Payments!$H:$H,Payments!$L:$L,"="&amp;$B27,Payments!$Q:$Q,"&gt;="&amp;N$4,Payments!$Q:$Q,"&lt;"&amp;EDATE(N$4,1))=0,"",
SUMIFS(Payments!$H:$H,Payments!$L:$L,"="&amp;$B27,Payments!$Q:$Q,"&gt;="&amp;N$4,Payments!$Q:$Q,"&lt;"&amp;EDATE(N$4,1)))</f>
        <v/>
      </c>
      <c r="O27" s="116">
        <f t="shared" si="2"/>
        <v>0</v>
      </c>
      <c r="P27" s="116">
        <f>SUMIFS(Payments!$H:$H,Payments!$L:L,"="&amp;$B27,Payments!$Q:$Q,"="&amp;"")</f>
        <v>0</v>
      </c>
      <c r="Q27" s="116">
        <f t="shared" si="3"/>
        <v>0</v>
      </c>
      <c r="R27" s="116">
        <f>VLOOKUP(B27,SETUP!H:K,4,FALSE)</f>
        <v>1500</v>
      </c>
      <c r="S27" s="116">
        <f t="shared" si="4"/>
        <v>1500</v>
      </c>
      <c r="T27" s="163">
        <f t="shared" si="16"/>
        <v>0</v>
      </c>
      <c r="U27" s="163">
        <f>IF(Q27=0,0,IF(AGAR!E$8=0,"No precept",Q27/AGAR!E$8))</f>
        <v>0</v>
      </c>
    </row>
    <row r="28" spans="2:23" x14ac:dyDescent="0.3">
      <c r="B28" s="175" t="str">
        <f>SETUP!H24</f>
        <v>Chairman's Allowance</v>
      </c>
      <c r="C28" s="116" t="str">
        <f>IF(SUMIFS(Payments!$H:$H,Payments!$L:$L,"="&amp;$B28,Payments!$Q:$Q,"&gt;="&amp;C$4,Payments!$Q:$Q,"&lt;"&amp;EDATE(C$4,1))=0,"",
SUMIFS(Payments!$H:$H,Payments!$L:$L,"="&amp;$B28,Payments!$Q:$Q,"&gt;="&amp;C$4,Payments!$Q:$Q,"&lt;"&amp;EDATE(C$4,1)))</f>
        <v/>
      </c>
      <c r="D28" s="116" t="str">
        <f>IF(SUMIFS(Payments!$H:$H,Payments!$L:$L,"="&amp;$B28,Payments!$Q:$Q,"&gt;="&amp;D$4,Payments!$Q:$Q,"&lt;"&amp;EDATE(D$4,1))=0,"",
SUMIFS(Payments!$H:$H,Payments!$L:$L,"="&amp;$B28,Payments!$Q:$Q,"&gt;="&amp;D$4,Payments!$Q:$Q,"&lt;"&amp;EDATE(D$4,1)))</f>
        <v/>
      </c>
      <c r="E28" s="116" t="str">
        <f>IF(SUMIFS(Payments!$H:$H,Payments!$L:$L,"="&amp;$B28,Payments!$Q:$Q,"&gt;="&amp;E$4,Payments!$Q:$Q,"&lt;"&amp;EDATE(E$4,1))=0,"",
SUMIFS(Payments!$H:$H,Payments!$L:$L,"="&amp;$B28,Payments!$Q:$Q,"&gt;="&amp;E$4,Payments!$Q:$Q,"&lt;"&amp;EDATE(E$4,1)))</f>
        <v/>
      </c>
      <c r="F28" s="116" t="str">
        <f>IF(SUMIFS(Payments!$H:$H,Payments!$L:$L,"="&amp;$B28,Payments!$Q:$Q,"&gt;="&amp;F$4,Payments!$Q:$Q,"&lt;"&amp;EDATE(F$4,1))=0,"",
SUMIFS(Payments!$H:$H,Payments!$L:$L,"="&amp;$B28,Payments!$Q:$Q,"&gt;="&amp;F$4,Payments!$Q:$Q,"&lt;"&amp;EDATE(F$4,1)))</f>
        <v/>
      </c>
      <c r="G28" s="116" t="str">
        <f>IF(SUMIFS(Payments!$H:$H,Payments!$L:$L,"="&amp;$B28,Payments!$Q:$Q,"&gt;="&amp;G$4,Payments!$Q:$Q,"&lt;"&amp;EDATE(G$4,1))=0,"",
SUMIFS(Payments!$H:$H,Payments!$L:$L,"="&amp;$B28,Payments!$Q:$Q,"&gt;="&amp;G$4,Payments!$Q:$Q,"&lt;"&amp;EDATE(G$4,1)))</f>
        <v/>
      </c>
      <c r="H28" s="116" t="str">
        <f>IF(SUMIFS(Payments!$H:$H,Payments!$L:$L,"="&amp;$B28,Payments!$Q:$Q,"&gt;="&amp;H$4,Payments!$Q:$Q,"&lt;"&amp;EDATE(H$4,1))=0,"",
SUMIFS(Payments!$H:$H,Payments!$L:$L,"="&amp;$B28,Payments!$Q:$Q,"&gt;="&amp;H$4,Payments!$Q:$Q,"&lt;"&amp;EDATE(H$4,1)))</f>
        <v/>
      </c>
      <c r="I28" s="116" t="str">
        <f>IF(SUMIFS(Payments!$H:$H,Payments!$L:$L,"="&amp;$B28,Payments!$Q:$Q,"&gt;="&amp;I$4,Payments!$Q:$Q,"&lt;"&amp;EDATE(I$4,1))=0,"",
SUMIFS(Payments!$H:$H,Payments!$L:$L,"="&amp;$B28,Payments!$Q:$Q,"&gt;="&amp;I$4,Payments!$Q:$Q,"&lt;"&amp;EDATE(I$4,1)))</f>
        <v/>
      </c>
      <c r="J28" s="116" t="str">
        <f>IF(SUMIFS(Payments!$H:$H,Payments!$L:$L,"="&amp;$B28,Payments!$Q:$Q,"&gt;="&amp;J$4,Payments!$Q:$Q,"&lt;"&amp;EDATE(J$4,1))=0,"",
SUMIFS(Payments!$H:$H,Payments!$L:$L,"="&amp;$B28,Payments!$Q:$Q,"&gt;="&amp;J$4,Payments!$Q:$Q,"&lt;"&amp;EDATE(J$4,1)))</f>
        <v/>
      </c>
      <c r="K28" s="116" t="str">
        <f>IF(SUMIFS(Payments!$H:$H,Payments!$L:$L,"="&amp;$B28,Payments!$Q:$Q,"&gt;="&amp;K$4,Payments!$Q:$Q,"&lt;"&amp;EDATE(K$4,1))=0,"",
SUMIFS(Payments!$H:$H,Payments!$L:$L,"="&amp;$B28,Payments!$Q:$Q,"&gt;="&amp;K$4,Payments!$Q:$Q,"&lt;"&amp;EDATE(K$4,1)))</f>
        <v/>
      </c>
      <c r="L28" s="116" t="str">
        <f>IF(SUMIFS(Payments!$H:$H,Payments!$L:$L,"="&amp;$B28,Payments!$Q:$Q,"&gt;="&amp;L$4,Payments!$Q:$Q,"&lt;"&amp;EDATE(L$4,1))=0,"",
SUMIFS(Payments!$H:$H,Payments!$L:$L,"="&amp;$B28,Payments!$Q:$Q,"&gt;="&amp;L$4,Payments!$Q:$Q,"&lt;"&amp;EDATE(L$4,1)))</f>
        <v/>
      </c>
      <c r="M28" s="116" t="str">
        <f>IF(SUMIFS(Payments!$H:$H,Payments!$L:$L,"="&amp;$B28,Payments!$Q:$Q,"&gt;="&amp;M$4,Payments!$Q:$Q,"&lt;"&amp;EDATE(M$4,1))=0,"",
SUMIFS(Payments!$H:$H,Payments!$L:$L,"="&amp;$B28,Payments!$Q:$Q,"&gt;="&amp;M$4,Payments!$Q:$Q,"&lt;"&amp;EDATE(M$4,1)))</f>
        <v/>
      </c>
      <c r="N28" s="116" t="str">
        <f>IF(SUMIFS(Payments!$H:$H,Payments!$L:$L,"="&amp;$B28,Payments!$Q:$Q,"&gt;="&amp;N$4,Payments!$Q:$Q,"&lt;"&amp;EDATE(N$4,1))=0,"",
SUMIFS(Payments!$H:$H,Payments!$L:$L,"="&amp;$B28,Payments!$Q:$Q,"&gt;="&amp;N$4,Payments!$Q:$Q,"&lt;"&amp;EDATE(N$4,1)))</f>
        <v/>
      </c>
      <c r="O28" s="116">
        <f t="shared" si="2"/>
        <v>0</v>
      </c>
      <c r="P28" s="116">
        <f>SUMIFS(Payments!$H:$H,Payments!$L:L,"="&amp;$B28,Payments!$Q:$Q,"="&amp;"")</f>
        <v>0</v>
      </c>
      <c r="Q28" s="116">
        <f t="shared" si="3"/>
        <v>0</v>
      </c>
      <c r="R28" s="116">
        <f>VLOOKUP(B28,SETUP!H:K,4,FALSE)</f>
        <v>300</v>
      </c>
      <c r="S28" s="116">
        <f t="shared" si="4"/>
        <v>300</v>
      </c>
      <c r="T28" s="163">
        <f t="shared" si="16"/>
        <v>0</v>
      </c>
      <c r="U28" s="163">
        <f>IF(Q28=0,0,IF(AGAR!E$8=0,"No precept",Q28/AGAR!E$8))</f>
        <v>0</v>
      </c>
    </row>
    <row r="29" spans="2:23" x14ac:dyDescent="0.3">
      <c r="B29" s="175" t="str">
        <f>SETUP!H25</f>
        <v>Elections</v>
      </c>
      <c r="C29" s="116">
        <f>IF(SUMIFS(Payments!$H:$H,Payments!$L:$L,"="&amp;$B29,Payments!$Q:$Q,"&gt;="&amp;C$4,Payments!$Q:$Q,"&lt;"&amp;EDATE(C$4,1))=0,"",
SUMIFS(Payments!$H:$H,Payments!$L:$L,"="&amp;$B29,Payments!$Q:$Q,"&gt;="&amp;C$4,Payments!$Q:$Q,"&lt;"&amp;EDATE(C$4,1)))</f>
        <v>6881.65</v>
      </c>
      <c r="D29" s="116" t="str">
        <f>IF(SUMIFS(Payments!$H:$H,Payments!$L:$L,"="&amp;$B29,Payments!$Q:$Q,"&gt;="&amp;D$4,Payments!$Q:$Q,"&lt;"&amp;EDATE(D$4,1))=0,"",
SUMIFS(Payments!$H:$H,Payments!$L:$L,"="&amp;$B29,Payments!$Q:$Q,"&gt;="&amp;D$4,Payments!$Q:$Q,"&lt;"&amp;EDATE(D$4,1)))</f>
        <v/>
      </c>
      <c r="E29" s="116" t="str">
        <f>IF(SUMIFS(Payments!$H:$H,Payments!$L:$L,"="&amp;$B29,Payments!$Q:$Q,"&gt;="&amp;E$4,Payments!$Q:$Q,"&lt;"&amp;EDATE(E$4,1))=0,"",
SUMIFS(Payments!$H:$H,Payments!$L:$L,"="&amp;$B29,Payments!$Q:$Q,"&gt;="&amp;E$4,Payments!$Q:$Q,"&lt;"&amp;EDATE(E$4,1)))</f>
        <v/>
      </c>
      <c r="F29" s="116" t="str">
        <f>IF(SUMIFS(Payments!$H:$H,Payments!$L:$L,"="&amp;$B29,Payments!$Q:$Q,"&gt;="&amp;F$4,Payments!$Q:$Q,"&lt;"&amp;EDATE(F$4,1))=0,"",
SUMIFS(Payments!$H:$H,Payments!$L:$L,"="&amp;$B29,Payments!$Q:$Q,"&gt;="&amp;F$4,Payments!$Q:$Q,"&lt;"&amp;EDATE(F$4,1)))</f>
        <v/>
      </c>
      <c r="G29" s="116" t="str">
        <f>IF(SUMIFS(Payments!$H:$H,Payments!$L:$L,"="&amp;$B29,Payments!$Q:$Q,"&gt;="&amp;G$4,Payments!$Q:$Q,"&lt;"&amp;EDATE(G$4,1))=0,"",
SUMIFS(Payments!$H:$H,Payments!$L:$L,"="&amp;$B29,Payments!$Q:$Q,"&gt;="&amp;G$4,Payments!$Q:$Q,"&lt;"&amp;EDATE(G$4,1)))</f>
        <v/>
      </c>
      <c r="H29" s="116" t="str">
        <f>IF(SUMIFS(Payments!$H:$H,Payments!$L:$L,"="&amp;$B29,Payments!$Q:$Q,"&gt;="&amp;H$4,Payments!$Q:$Q,"&lt;"&amp;EDATE(H$4,1))=0,"",
SUMIFS(Payments!$H:$H,Payments!$L:$L,"="&amp;$B29,Payments!$Q:$Q,"&gt;="&amp;H$4,Payments!$Q:$Q,"&lt;"&amp;EDATE(H$4,1)))</f>
        <v/>
      </c>
      <c r="I29" s="116" t="str">
        <f>IF(SUMIFS(Payments!$H:$H,Payments!$L:$L,"="&amp;$B29,Payments!$Q:$Q,"&gt;="&amp;I$4,Payments!$Q:$Q,"&lt;"&amp;EDATE(I$4,1))=0,"",
SUMIFS(Payments!$H:$H,Payments!$L:$L,"="&amp;$B29,Payments!$Q:$Q,"&gt;="&amp;I$4,Payments!$Q:$Q,"&lt;"&amp;EDATE(I$4,1)))</f>
        <v/>
      </c>
      <c r="J29" s="116" t="str">
        <f>IF(SUMIFS(Payments!$H:$H,Payments!$L:$L,"="&amp;$B29,Payments!$Q:$Q,"&gt;="&amp;J$4,Payments!$Q:$Q,"&lt;"&amp;EDATE(J$4,1))=0,"",
SUMIFS(Payments!$H:$H,Payments!$L:$L,"="&amp;$B29,Payments!$Q:$Q,"&gt;="&amp;J$4,Payments!$Q:$Q,"&lt;"&amp;EDATE(J$4,1)))</f>
        <v/>
      </c>
      <c r="K29" s="116" t="str">
        <f>IF(SUMIFS(Payments!$H:$H,Payments!$L:$L,"="&amp;$B29,Payments!$Q:$Q,"&gt;="&amp;K$4,Payments!$Q:$Q,"&lt;"&amp;EDATE(K$4,1))=0,"",
SUMIFS(Payments!$H:$H,Payments!$L:$L,"="&amp;$B29,Payments!$Q:$Q,"&gt;="&amp;K$4,Payments!$Q:$Q,"&lt;"&amp;EDATE(K$4,1)))</f>
        <v/>
      </c>
      <c r="L29" s="116" t="str">
        <f>IF(SUMIFS(Payments!$H:$H,Payments!$L:$L,"="&amp;$B29,Payments!$Q:$Q,"&gt;="&amp;L$4,Payments!$Q:$Q,"&lt;"&amp;EDATE(L$4,1))=0,"",
SUMIFS(Payments!$H:$H,Payments!$L:$L,"="&amp;$B29,Payments!$Q:$Q,"&gt;="&amp;L$4,Payments!$Q:$Q,"&lt;"&amp;EDATE(L$4,1)))</f>
        <v/>
      </c>
      <c r="M29" s="116" t="str">
        <f>IF(SUMIFS(Payments!$H:$H,Payments!$L:$L,"="&amp;$B29,Payments!$Q:$Q,"&gt;="&amp;M$4,Payments!$Q:$Q,"&lt;"&amp;EDATE(M$4,1))=0,"",
SUMIFS(Payments!$H:$H,Payments!$L:$L,"="&amp;$B29,Payments!$Q:$Q,"&gt;="&amp;M$4,Payments!$Q:$Q,"&lt;"&amp;EDATE(M$4,1)))</f>
        <v/>
      </c>
      <c r="N29" s="116" t="str">
        <f>IF(SUMIFS(Payments!$H:$H,Payments!$L:$L,"="&amp;$B29,Payments!$Q:$Q,"&gt;="&amp;N$4,Payments!$Q:$Q,"&lt;"&amp;EDATE(N$4,1))=0,"",
SUMIFS(Payments!$H:$H,Payments!$L:$L,"="&amp;$B29,Payments!$Q:$Q,"&gt;="&amp;N$4,Payments!$Q:$Q,"&lt;"&amp;EDATE(N$4,1)))</f>
        <v/>
      </c>
      <c r="O29" s="116">
        <f t="shared" si="2"/>
        <v>6881.65</v>
      </c>
      <c r="P29" s="116">
        <f>SUMIFS(Payments!$H:$H,Payments!$L:L,"="&amp;$B29,Payments!$Q:$Q,"="&amp;"")</f>
        <v>0</v>
      </c>
      <c r="Q29" s="116">
        <f t="shared" si="3"/>
        <v>6881.65</v>
      </c>
      <c r="R29" s="116">
        <f>VLOOKUP(B29,SETUP!H:K,4,FALSE)</f>
        <v>11600</v>
      </c>
      <c r="S29" s="116">
        <f t="shared" si="4"/>
        <v>4718.3500000000004</v>
      </c>
      <c r="T29" s="163">
        <f t="shared" si="16"/>
        <v>0.17386821372274522</v>
      </c>
      <c r="U29" s="163">
        <f>IF(Q29=0,0,IF(AGAR!E$8=0,"No precept",Q29/AGAR!E$8))</f>
        <v>4.4194447477089255E-2</v>
      </c>
    </row>
    <row r="30" spans="2:23" x14ac:dyDescent="0.3">
      <c r="B30" s="175" t="str">
        <f>SETUP!H26</f>
        <v>Spare Code</v>
      </c>
      <c r="C30" s="116" t="str">
        <f>IF(SUMIFS(Payments!$H:$H,Payments!$L:$L,"="&amp;$B30,Payments!$Q:$Q,"&gt;="&amp;C$4,Payments!$Q:$Q,"&lt;"&amp;EDATE(C$4,1))=0,"",
SUMIFS(Payments!$H:$H,Payments!$L:$L,"="&amp;$B30,Payments!$Q:$Q,"&gt;="&amp;C$4,Payments!$Q:$Q,"&lt;"&amp;EDATE(C$4,1)))</f>
        <v/>
      </c>
      <c r="D30" s="116" t="str">
        <f>IF(SUMIFS(Payments!$H:$H,Payments!$L:$L,"="&amp;$B30,Payments!$Q:$Q,"&gt;="&amp;D$4,Payments!$Q:$Q,"&lt;"&amp;EDATE(D$4,1))=0,"",
SUMIFS(Payments!$H:$H,Payments!$L:$L,"="&amp;$B30,Payments!$Q:$Q,"&gt;="&amp;D$4,Payments!$Q:$Q,"&lt;"&amp;EDATE(D$4,1)))</f>
        <v/>
      </c>
      <c r="E30" s="116" t="str">
        <f>IF(SUMIFS(Payments!$H:$H,Payments!$L:$L,"="&amp;$B30,Payments!$Q:$Q,"&gt;="&amp;E$4,Payments!$Q:$Q,"&lt;"&amp;EDATE(E$4,1))=0,"",
SUMIFS(Payments!$H:$H,Payments!$L:$L,"="&amp;$B30,Payments!$Q:$Q,"&gt;="&amp;E$4,Payments!$Q:$Q,"&lt;"&amp;EDATE(E$4,1)))</f>
        <v/>
      </c>
      <c r="F30" s="116" t="str">
        <f>IF(SUMIFS(Payments!$H:$H,Payments!$L:$L,"="&amp;$B30,Payments!$Q:$Q,"&gt;="&amp;F$4,Payments!$Q:$Q,"&lt;"&amp;EDATE(F$4,1))=0,"",
SUMIFS(Payments!$H:$H,Payments!$L:$L,"="&amp;$B30,Payments!$Q:$Q,"&gt;="&amp;F$4,Payments!$Q:$Q,"&lt;"&amp;EDATE(F$4,1)))</f>
        <v/>
      </c>
      <c r="G30" s="116" t="str">
        <f>IF(SUMIFS(Payments!$H:$H,Payments!$L:$L,"="&amp;$B30,Payments!$Q:$Q,"&gt;="&amp;G$4,Payments!$Q:$Q,"&lt;"&amp;EDATE(G$4,1))=0,"",
SUMIFS(Payments!$H:$H,Payments!$L:$L,"="&amp;$B30,Payments!$Q:$Q,"&gt;="&amp;G$4,Payments!$Q:$Q,"&lt;"&amp;EDATE(G$4,1)))</f>
        <v/>
      </c>
      <c r="H30" s="116" t="str">
        <f>IF(SUMIFS(Payments!$H:$H,Payments!$L:$L,"="&amp;$B30,Payments!$Q:$Q,"&gt;="&amp;H$4,Payments!$Q:$Q,"&lt;"&amp;EDATE(H$4,1))=0,"",
SUMIFS(Payments!$H:$H,Payments!$L:$L,"="&amp;$B30,Payments!$Q:$Q,"&gt;="&amp;H$4,Payments!$Q:$Q,"&lt;"&amp;EDATE(H$4,1)))</f>
        <v/>
      </c>
      <c r="I30" s="116" t="str">
        <f>IF(SUMIFS(Payments!$H:$H,Payments!$L:$L,"="&amp;$B30,Payments!$Q:$Q,"&gt;="&amp;I$4,Payments!$Q:$Q,"&lt;"&amp;EDATE(I$4,1))=0,"",
SUMIFS(Payments!$H:$H,Payments!$L:$L,"="&amp;$B30,Payments!$Q:$Q,"&gt;="&amp;I$4,Payments!$Q:$Q,"&lt;"&amp;EDATE(I$4,1)))</f>
        <v/>
      </c>
      <c r="J30" s="116" t="str">
        <f>IF(SUMIFS(Payments!$H:$H,Payments!$L:$L,"="&amp;$B30,Payments!$Q:$Q,"&gt;="&amp;J$4,Payments!$Q:$Q,"&lt;"&amp;EDATE(J$4,1))=0,"",
SUMIFS(Payments!$H:$H,Payments!$L:$L,"="&amp;$B30,Payments!$Q:$Q,"&gt;="&amp;J$4,Payments!$Q:$Q,"&lt;"&amp;EDATE(J$4,1)))</f>
        <v/>
      </c>
      <c r="K30" s="116" t="str">
        <f>IF(SUMIFS(Payments!$H:$H,Payments!$L:$L,"="&amp;$B30,Payments!$Q:$Q,"&gt;="&amp;K$4,Payments!$Q:$Q,"&lt;"&amp;EDATE(K$4,1))=0,"",
SUMIFS(Payments!$H:$H,Payments!$L:$L,"="&amp;$B30,Payments!$Q:$Q,"&gt;="&amp;K$4,Payments!$Q:$Q,"&lt;"&amp;EDATE(K$4,1)))</f>
        <v/>
      </c>
      <c r="L30" s="116" t="str">
        <f>IF(SUMIFS(Payments!$H:$H,Payments!$L:$L,"="&amp;$B30,Payments!$Q:$Q,"&gt;="&amp;L$4,Payments!$Q:$Q,"&lt;"&amp;EDATE(L$4,1))=0,"",
SUMIFS(Payments!$H:$H,Payments!$L:$L,"="&amp;$B30,Payments!$Q:$Q,"&gt;="&amp;L$4,Payments!$Q:$Q,"&lt;"&amp;EDATE(L$4,1)))</f>
        <v/>
      </c>
      <c r="M30" s="116" t="str">
        <f>IF(SUMIFS(Payments!$H:$H,Payments!$L:$L,"="&amp;$B30,Payments!$Q:$Q,"&gt;="&amp;M$4,Payments!$Q:$Q,"&lt;"&amp;EDATE(M$4,1))=0,"",
SUMIFS(Payments!$H:$H,Payments!$L:$L,"="&amp;$B30,Payments!$Q:$Q,"&gt;="&amp;M$4,Payments!$Q:$Q,"&lt;"&amp;EDATE(M$4,1)))</f>
        <v/>
      </c>
      <c r="N30" s="116" t="str">
        <f>IF(SUMIFS(Payments!$H:$H,Payments!$L:$L,"="&amp;$B30,Payments!$Q:$Q,"&gt;="&amp;N$4,Payments!$Q:$Q,"&lt;"&amp;EDATE(N$4,1))=0,"",
SUMIFS(Payments!$H:$H,Payments!$L:$L,"="&amp;$B30,Payments!$Q:$Q,"&gt;="&amp;N$4,Payments!$Q:$Q,"&lt;"&amp;EDATE(N$4,1)))</f>
        <v/>
      </c>
      <c r="O30" s="116">
        <f t="shared" ref="O30:O31" si="17">SUM(C30:N30)</f>
        <v>0</v>
      </c>
      <c r="P30" s="116">
        <f>SUMIFS(Payments!$H:$H,Payments!$L:L,"="&amp;$B30,Payments!$Q:$Q,"="&amp;"")</f>
        <v>0</v>
      </c>
      <c r="Q30" s="116">
        <f t="shared" ref="Q30:Q31" si="18">SUM(O30:P30)</f>
        <v>0</v>
      </c>
      <c r="R30" s="116">
        <f>VLOOKUP(B30,SETUP!H:K,4,FALSE)</f>
        <v>0</v>
      </c>
      <c r="S30" s="116">
        <f t="shared" ref="S30:S31" si="19">R30-Q30</f>
        <v>0</v>
      </c>
      <c r="T30" s="163">
        <f t="shared" si="16"/>
        <v>0</v>
      </c>
      <c r="U30" s="163">
        <f>IF(Q30=0,0,IF(AGAR!E$8=0,"No precept",Q30/AGAR!E$8))</f>
        <v>0</v>
      </c>
    </row>
    <row r="31" spans="2:23" x14ac:dyDescent="0.3">
      <c r="B31" s="175" t="str">
        <f>SETUP!H27</f>
        <v>Spare Code</v>
      </c>
      <c r="C31" s="116" t="str">
        <f>IF(SUMIFS(Payments!$H:$H,Payments!$L:$L,"="&amp;$B31,Payments!$Q:$Q,"&gt;="&amp;C$4,Payments!$Q:$Q,"&lt;"&amp;EDATE(C$4,1))=0,"",
SUMIFS(Payments!$H:$H,Payments!$L:$L,"="&amp;$B31,Payments!$Q:$Q,"&gt;="&amp;C$4,Payments!$Q:$Q,"&lt;"&amp;EDATE(C$4,1)))</f>
        <v/>
      </c>
      <c r="D31" s="116" t="str">
        <f>IF(SUMIFS(Payments!$H:$H,Payments!$L:$L,"="&amp;$B31,Payments!$Q:$Q,"&gt;="&amp;D$4,Payments!$Q:$Q,"&lt;"&amp;EDATE(D$4,1))=0,"",
SUMIFS(Payments!$H:$H,Payments!$L:$L,"="&amp;$B31,Payments!$Q:$Q,"&gt;="&amp;D$4,Payments!$Q:$Q,"&lt;"&amp;EDATE(D$4,1)))</f>
        <v/>
      </c>
      <c r="E31" s="116" t="str">
        <f>IF(SUMIFS(Payments!$H:$H,Payments!$L:$L,"="&amp;$B31,Payments!$Q:$Q,"&gt;="&amp;E$4,Payments!$Q:$Q,"&lt;"&amp;EDATE(E$4,1))=0,"",
SUMIFS(Payments!$H:$H,Payments!$L:$L,"="&amp;$B31,Payments!$Q:$Q,"&gt;="&amp;E$4,Payments!$Q:$Q,"&lt;"&amp;EDATE(E$4,1)))</f>
        <v/>
      </c>
      <c r="F31" s="116" t="str">
        <f>IF(SUMIFS(Payments!$H:$H,Payments!$L:$L,"="&amp;$B31,Payments!$Q:$Q,"&gt;="&amp;F$4,Payments!$Q:$Q,"&lt;"&amp;EDATE(F$4,1))=0,"",
SUMIFS(Payments!$H:$H,Payments!$L:$L,"="&amp;$B31,Payments!$Q:$Q,"&gt;="&amp;F$4,Payments!$Q:$Q,"&lt;"&amp;EDATE(F$4,1)))</f>
        <v/>
      </c>
      <c r="G31" s="116" t="str">
        <f>IF(SUMIFS(Payments!$H:$H,Payments!$L:$L,"="&amp;$B31,Payments!$Q:$Q,"&gt;="&amp;G$4,Payments!$Q:$Q,"&lt;"&amp;EDATE(G$4,1))=0,"",
SUMIFS(Payments!$H:$H,Payments!$L:$L,"="&amp;$B31,Payments!$Q:$Q,"&gt;="&amp;G$4,Payments!$Q:$Q,"&lt;"&amp;EDATE(G$4,1)))</f>
        <v/>
      </c>
      <c r="H31" s="116" t="str">
        <f>IF(SUMIFS(Payments!$H:$H,Payments!$L:$L,"="&amp;$B31,Payments!$Q:$Q,"&gt;="&amp;H$4,Payments!$Q:$Q,"&lt;"&amp;EDATE(H$4,1))=0,"",
SUMIFS(Payments!$H:$H,Payments!$L:$L,"="&amp;$B31,Payments!$Q:$Q,"&gt;="&amp;H$4,Payments!$Q:$Q,"&lt;"&amp;EDATE(H$4,1)))</f>
        <v/>
      </c>
      <c r="I31" s="116" t="str">
        <f>IF(SUMIFS(Payments!$H:$H,Payments!$L:$L,"="&amp;$B31,Payments!$Q:$Q,"&gt;="&amp;I$4,Payments!$Q:$Q,"&lt;"&amp;EDATE(I$4,1))=0,"",
SUMIFS(Payments!$H:$H,Payments!$L:$L,"="&amp;$B31,Payments!$Q:$Q,"&gt;="&amp;I$4,Payments!$Q:$Q,"&lt;"&amp;EDATE(I$4,1)))</f>
        <v/>
      </c>
      <c r="J31" s="116" t="str">
        <f>IF(SUMIFS(Payments!$H:$H,Payments!$L:$L,"="&amp;$B31,Payments!$Q:$Q,"&gt;="&amp;J$4,Payments!$Q:$Q,"&lt;"&amp;EDATE(J$4,1))=0,"",
SUMIFS(Payments!$H:$H,Payments!$L:$L,"="&amp;$B31,Payments!$Q:$Q,"&gt;="&amp;J$4,Payments!$Q:$Q,"&lt;"&amp;EDATE(J$4,1)))</f>
        <v/>
      </c>
      <c r="K31" s="116" t="str">
        <f>IF(SUMIFS(Payments!$H:$H,Payments!$L:$L,"="&amp;$B31,Payments!$Q:$Q,"&gt;="&amp;K$4,Payments!$Q:$Q,"&lt;"&amp;EDATE(K$4,1))=0,"",
SUMIFS(Payments!$H:$H,Payments!$L:$L,"="&amp;$B31,Payments!$Q:$Q,"&gt;="&amp;K$4,Payments!$Q:$Q,"&lt;"&amp;EDATE(K$4,1)))</f>
        <v/>
      </c>
      <c r="L31" s="116" t="str">
        <f>IF(SUMIFS(Payments!$H:$H,Payments!$L:$L,"="&amp;$B31,Payments!$Q:$Q,"&gt;="&amp;L$4,Payments!$Q:$Q,"&lt;"&amp;EDATE(L$4,1))=0,"",
SUMIFS(Payments!$H:$H,Payments!$L:$L,"="&amp;$B31,Payments!$Q:$Q,"&gt;="&amp;L$4,Payments!$Q:$Q,"&lt;"&amp;EDATE(L$4,1)))</f>
        <v/>
      </c>
      <c r="M31" s="116" t="str">
        <f>IF(SUMIFS(Payments!$H:$H,Payments!$L:$L,"="&amp;$B31,Payments!$Q:$Q,"&gt;="&amp;M$4,Payments!$Q:$Q,"&lt;"&amp;EDATE(M$4,1))=0,"",
SUMIFS(Payments!$H:$H,Payments!$L:$L,"="&amp;$B31,Payments!$Q:$Q,"&gt;="&amp;M$4,Payments!$Q:$Q,"&lt;"&amp;EDATE(M$4,1)))</f>
        <v/>
      </c>
      <c r="N31" s="116" t="str">
        <f>IF(SUMIFS(Payments!$H:$H,Payments!$L:$L,"="&amp;$B31,Payments!$Q:$Q,"&gt;="&amp;N$4,Payments!$Q:$Q,"&lt;"&amp;EDATE(N$4,1))=0,"",
SUMIFS(Payments!$H:$H,Payments!$L:$L,"="&amp;$B31,Payments!$Q:$Q,"&gt;="&amp;N$4,Payments!$Q:$Q,"&lt;"&amp;EDATE(N$4,1)))</f>
        <v/>
      </c>
      <c r="O31" s="116">
        <f t="shared" si="17"/>
        <v>0</v>
      </c>
      <c r="P31" s="116">
        <f>SUMIFS(Payments!$H:$H,Payments!$L:L,"="&amp;$B31,Payments!$Q:$Q,"="&amp;"")</f>
        <v>0</v>
      </c>
      <c r="Q31" s="116">
        <f t="shared" si="18"/>
        <v>0</v>
      </c>
      <c r="R31" s="116">
        <f>VLOOKUP(B31,SETUP!H:K,4,FALSE)</f>
        <v>0</v>
      </c>
      <c r="S31" s="116">
        <f t="shared" si="19"/>
        <v>0</v>
      </c>
      <c r="T31" s="163">
        <f t="shared" si="16"/>
        <v>0</v>
      </c>
      <c r="U31" s="163">
        <f>IF(Q31=0,0,IF(AGAR!E$8=0,"No precept",Q31/AGAR!E$8))</f>
        <v>0</v>
      </c>
    </row>
    <row r="32" spans="2:23" s="150" customFormat="1" x14ac:dyDescent="0.3">
      <c r="B32" s="27" t="str">
        <f>"Total "&amp;B24</f>
        <v>Total Governance</v>
      </c>
      <c r="C32" s="165">
        <f>SUM(C25:C31)</f>
        <v>6933.2</v>
      </c>
      <c r="D32" s="165">
        <f t="shared" ref="D32:U32" si="20">SUM(D25:D31)</f>
        <v>54.2</v>
      </c>
      <c r="E32" s="165">
        <f t="shared" si="20"/>
        <v>0</v>
      </c>
      <c r="F32" s="165">
        <f t="shared" si="20"/>
        <v>0</v>
      </c>
      <c r="G32" s="165">
        <f t="shared" si="20"/>
        <v>0</v>
      </c>
      <c r="H32" s="165">
        <f t="shared" si="20"/>
        <v>0</v>
      </c>
      <c r="I32" s="165">
        <f t="shared" si="20"/>
        <v>0</v>
      </c>
      <c r="J32" s="165">
        <f t="shared" si="20"/>
        <v>0</v>
      </c>
      <c r="K32" s="165">
        <f t="shared" si="20"/>
        <v>0</v>
      </c>
      <c r="L32" s="165">
        <f t="shared" si="20"/>
        <v>0</v>
      </c>
      <c r="M32" s="165">
        <f t="shared" si="20"/>
        <v>0</v>
      </c>
      <c r="N32" s="165">
        <f t="shared" si="20"/>
        <v>0</v>
      </c>
      <c r="O32" s="165">
        <f t="shared" si="20"/>
        <v>6987.4</v>
      </c>
      <c r="P32" s="165">
        <f t="shared" si="20"/>
        <v>0</v>
      </c>
      <c r="Q32" s="165">
        <f t="shared" si="20"/>
        <v>6987.4</v>
      </c>
      <c r="R32" s="165">
        <f t="shared" si="20"/>
        <v>16200</v>
      </c>
      <c r="S32" s="165">
        <f t="shared" si="20"/>
        <v>9212.6</v>
      </c>
      <c r="T32" s="166">
        <f t="shared" si="20"/>
        <v>0.17654003859049935</v>
      </c>
      <c r="U32" s="166">
        <f t="shared" si="20"/>
        <v>4.4873581524985065E-2</v>
      </c>
    </row>
    <row r="34" spans="2:21" x14ac:dyDescent="0.3">
      <c r="B34" s="174" t="str">
        <f>SETUP!H28</f>
        <v>Maintenance</v>
      </c>
      <c r="C34" s="160" t="str">
        <f>IF(SUMIFS(Payments!$H:$H,Payments!$L:$L,"="&amp;$B34,Payments!$Q:$Q,"&gt;="&amp;C$4,Payments!$Q:$Q,"&lt;"&amp;EDATE(C$4,1))=0,"",
SUMIFS(Payments!$H:$H,Payments!$L:$L,"="&amp;$B34,Payments!$Q:$Q,"&gt;="&amp;C$4,Payments!$Q:$Q,"&lt;"&amp;EDATE(C$4,1)))</f>
        <v/>
      </c>
      <c r="D34" s="160" t="str">
        <f>IF(SUMIFS(Payments!$H:$H,Payments!$L:$L,"="&amp;$B34,Payments!$Q:$Q,"&gt;="&amp;D$4,Payments!$Q:$Q,"&lt;"&amp;EDATE(D$4,1))=0,"",
SUMIFS(Payments!$H:$H,Payments!$L:$L,"="&amp;$B34,Payments!$Q:$Q,"&gt;="&amp;D$4,Payments!$Q:$Q,"&lt;"&amp;EDATE(D$4,1)))</f>
        <v/>
      </c>
      <c r="E34" s="160" t="str">
        <f>IF(SUMIFS(Payments!$H:$H,Payments!$L:$L,"="&amp;$B34,Payments!$Q:$Q,"&gt;="&amp;E$4,Payments!$Q:$Q,"&lt;"&amp;EDATE(E$4,1))=0,"",
SUMIFS(Payments!$H:$H,Payments!$L:$L,"="&amp;$B34,Payments!$Q:$Q,"&gt;="&amp;E$4,Payments!$Q:$Q,"&lt;"&amp;EDATE(E$4,1)))</f>
        <v/>
      </c>
      <c r="F34" s="160" t="str">
        <f>IF(SUMIFS(Payments!$H:$H,Payments!$L:$L,"="&amp;$B34,Payments!$Q:$Q,"&gt;="&amp;F$4,Payments!$Q:$Q,"&lt;"&amp;EDATE(F$4,1))=0,"",
SUMIFS(Payments!$H:$H,Payments!$L:$L,"="&amp;$B34,Payments!$Q:$Q,"&gt;="&amp;F$4,Payments!$Q:$Q,"&lt;"&amp;EDATE(F$4,1)))</f>
        <v/>
      </c>
      <c r="G34" s="160" t="str">
        <f>IF(SUMIFS(Payments!$H:$H,Payments!$L:$L,"="&amp;$B34,Payments!$Q:$Q,"&gt;="&amp;G$4,Payments!$Q:$Q,"&lt;"&amp;EDATE(G$4,1))=0,"",
SUMIFS(Payments!$H:$H,Payments!$L:$L,"="&amp;$B34,Payments!$Q:$Q,"&gt;="&amp;G$4,Payments!$Q:$Q,"&lt;"&amp;EDATE(G$4,1)))</f>
        <v/>
      </c>
      <c r="H34" s="160" t="str">
        <f>IF(SUMIFS(Payments!$H:$H,Payments!$L:$L,"="&amp;$B34,Payments!$Q:$Q,"&gt;="&amp;H$4,Payments!$Q:$Q,"&lt;"&amp;EDATE(H$4,1))=0,"",
SUMIFS(Payments!$H:$H,Payments!$L:$L,"="&amp;$B34,Payments!$Q:$Q,"&gt;="&amp;H$4,Payments!$Q:$Q,"&lt;"&amp;EDATE(H$4,1)))</f>
        <v/>
      </c>
      <c r="I34" s="160" t="str">
        <f>IF(SUMIFS(Payments!$H:$H,Payments!$L:$L,"="&amp;$B34,Payments!$Q:$Q,"&gt;="&amp;I$4,Payments!$Q:$Q,"&lt;"&amp;EDATE(I$4,1))=0,"",
SUMIFS(Payments!$H:$H,Payments!$L:$L,"="&amp;$B34,Payments!$Q:$Q,"&gt;="&amp;I$4,Payments!$Q:$Q,"&lt;"&amp;EDATE(I$4,1)))</f>
        <v/>
      </c>
      <c r="J34" s="160" t="str">
        <f>IF(SUMIFS(Payments!$H:$H,Payments!$L:$L,"="&amp;$B34,Payments!$Q:$Q,"&gt;="&amp;J$4,Payments!$Q:$Q,"&lt;"&amp;EDATE(J$4,1))=0,"",
SUMIFS(Payments!$H:$H,Payments!$L:$L,"="&amp;$B34,Payments!$Q:$Q,"&gt;="&amp;J$4,Payments!$Q:$Q,"&lt;"&amp;EDATE(J$4,1)))</f>
        <v/>
      </c>
      <c r="K34" s="160" t="str">
        <f>IF(SUMIFS(Payments!$H:$H,Payments!$L:$L,"="&amp;$B34,Payments!$Q:$Q,"&gt;="&amp;K$4,Payments!$Q:$Q,"&lt;"&amp;EDATE(K$4,1))=0,"",
SUMIFS(Payments!$H:$H,Payments!$L:$L,"="&amp;$B34,Payments!$Q:$Q,"&gt;="&amp;K$4,Payments!$Q:$Q,"&lt;"&amp;EDATE(K$4,1)))</f>
        <v/>
      </c>
      <c r="L34" s="160" t="str">
        <f>IF(SUMIFS(Payments!$H:$H,Payments!$L:$L,"="&amp;$B34,Payments!$Q:$Q,"&gt;="&amp;L$4,Payments!$Q:$Q,"&lt;"&amp;EDATE(L$4,1))=0,"",
SUMIFS(Payments!$H:$H,Payments!$L:$L,"="&amp;$B34,Payments!$Q:$Q,"&gt;="&amp;L$4,Payments!$Q:$Q,"&lt;"&amp;EDATE(L$4,1)))</f>
        <v/>
      </c>
      <c r="M34" s="160" t="str">
        <f>IF(SUMIFS(Payments!$H:$H,Payments!$L:$L,"="&amp;$B34,Payments!$Q:$Q,"&gt;="&amp;M$4,Payments!$Q:$Q,"&lt;"&amp;EDATE(M$4,1))=0,"",
SUMIFS(Payments!$H:$H,Payments!$L:$L,"="&amp;$B34,Payments!$Q:$Q,"&gt;="&amp;M$4,Payments!$Q:$Q,"&lt;"&amp;EDATE(M$4,1)))</f>
        <v/>
      </c>
      <c r="N34" s="160" t="str">
        <f>IF(SUMIFS(Payments!$H:$H,Payments!$L:$L,"="&amp;$B34,Payments!$Q:$Q,"&gt;="&amp;N$4,Payments!$Q:$Q,"&lt;"&amp;EDATE(N$4,1))=0,"",
SUMIFS(Payments!$H:$H,Payments!$L:$L,"="&amp;$B34,Payments!$Q:$Q,"&gt;="&amp;N$4,Payments!$Q:$Q,"&lt;"&amp;EDATE(N$4,1)))</f>
        <v/>
      </c>
      <c r="O34" s="160"/>
      <c r="P34" s="160"/>
      <c r="Q34" s="160"/>
      <c r="R34" s="160"/>
      <c r="S34" s="160"/>
      <c r="T34" s="161"/>
      <c r="U34" s="162"/>
    </row>
    <row r="35" spans="2:21" x14ac:dyDescent="0.3">
      <c r="B35" s="175" t="str">
        <f>SETUP!H29</f>
        <v>Parks Maintenance &amp; Cemetery Grounds</v>
      </c>
      <c r="C35" s="116">
        <f>IF(SUMIFS(Payments!$H:$H,Payments!$L:$L,"="&amp;$B35,Payments!$Q:$Q,"&gt;="&amp;C$4,Payments!$Q:$Q,"&lt;"&amp;EDATE(C$4,1))=0,"",
SUMIFS(Payments!$H:$H,Payments!$L:$L,"="&amp;$B35,Payments!$Q:$Q,"&gt;="&amp;C$4,Payments!$Q:$Q,"&lt;"&amp;EDATE(C$4,1)))</f>
        <v>10088.44</v>
      </c>
      <c r="D35" s="116">
        <f>IF(SUMIFS(Payments!$H:$H,Payments!$L:$L,"="&amp;$B35,Payments!$Q:$Q,"&gt;="&amp;D$4,Payments!$Q:$Q,"&lt;"&amp;EDATE(D$4,1))=0,"",
SUMIFS(Payments!$H:$H,Payments!$L:$L,"="&amp;$B35,Payments!$Q:$Q,"&gt;="&amp;D$4,Payments!$Q:$Q,"&lt;"&amp;EDATE(D$4,1)))</f>
        <v>2350.91</v>
      </c>
      <c r="E35" s="116" t="str">
        <f>IF(SUMIFS(Payments!$H:$H,Payments!$L:$L,"="&amp;$B35,Payments!$Q:$Q,"&gt;="&amp;E$4,Payments!$Q:$Q,"&lt;"&amp;EDATE(E$4,1))=0,"",
SUMIFS(Payments!$H:$H,Payments!$L:$L,"="&amp;$B35,Payments!$Q:$Q,"&gt;="&amp;E$4,Payments!$Q:$Q,"&lt;"&amp;EDATE(E$4,1)))</f>
        <v/>
      </c>
      <c r="F35" s="116" t="str">
        <f>IF(SUMIFS(Payments!$H:$H,Payments!$L:$L,"="&amp;$B35,Payments!$Q:$Q,"&gt;="&amp;F$4,Payments!$Q:$Q,"&lt;"&amp;EDATE(F$4,1))=0,"",
SUMIFS(Payments!$H:$H,Payments!$L:$L,"="&amp;$B35,Payments!$Q:$Q,"&gt;="&amp;F$4,Payments!$Q:$Q,"&lt;"&amp;EDATE(F$4,1)))</f>
        <v/>
      </c>
      <c r="G35" s="116" t="str">
        <f>IF(SUMIFS(Payments!$H:$H,Payments!$L:$L,"="&amp;$B35,Payments!$Q:$Q,"&gt;="&amp;G$4,Payments!$Q:$Q,"&lt;"&amp;EDATE(G$4,1))=0,"",
SUMIFS(Payments!$H:$H,Payments!$L:$L,"="&amp;$B35,Payments!$Q:$Q,"&gt;="&amp;G$4,Payments!$Q:$Q,"&lt;"&amp;EDATE(G$4,1)))</f>
        <v/>
      </c>
      <c r="H35" s="116" t="str">
        <f>IF(SUMIFS(Payments!$H:$H,Payments!$L:$L,"="&amp;$B35,Payments!$Q:$Q,"&gt;="&amp;H$4,Payments!$Q:$Q,"&lt;"&amp;EDATE(H$4,1))=0,"",
SUMIFS(Payments!$H:$H,Payments!$L:$L,"="&amp;$B35,Payments!$Q:$Q,"&gt;="&amp;H$4,Payments!$Q:$Q,"&lt;"&amp;EDATE(H$4,1)))</f>
        <v/>
      </c>
      <c r="I35" s="116" t="str">
        <f>IF(SUMIFS(Payments!$H:$H,Payments!$L:$L,"="&amp;$B35,Payments!$Q:$Q,"&gt;="&amp;I$4,Payments!$Q:$Q,"&lt;"&amp;EDATE(I$4,1))=0,"",
SUMIFS(Payments!$H:$H,Payments!$L:$L,"="&amp;$B35,Payments!$Q:$Q,"&gt;="&amp;I$4,Payments!$Q:$Q,"&lt;"&amp;EDATE(I$4,1)))</f>
        <v/>
      </c>
      <c r="J35" s="116" t="str">
        <f>IF(SUMIFS(Payments!$H:$H,Payments!$L:$L,"="&amp;$B35,Payments!$Q:$Q,"&gt;="&amp;J$4,Payments!$Q:$Q,"&lt;"&amp;EDATE(J$4,1))=0,"",
SUMIFS(Payments!$H:$H,Payments!$L:$L,"="&amp;$B35,Payments!$Q:$Q,"&gt;="&amp;J$4,Payments!$Q:$Q,"&lt;"&amp;EDATE(J$4,1)))</f>
        <v/>
      </c>
      <c r="K35" s="116" t="str">
        <f>IF(SUMIFS(Payments!$H:$H,Payments!$L:$L,"="&amp;$B35,Payments!$Q:$Q,"&gt;="&amp;K$4,Payments!$Q:$Q,"&lt;"&amp;EDATE(K$4,1))=0,"",
SUMIFS(Payments!$H:$H,Payments!$L:$L,"="&amp;$B35,Payments!$Q:$Q,"&gt;="&amp;K$4,Payments!$Q:$Q,"&lt;"&amp;EDATE(K$4,1)))</f>
        <v/>
      </c>
      <c r="L35" s="116" t="str">
        <f>IF(SUMIFS(Payments!$H:$H,Payments!$L:$L,"="&amp;$B35,Payments!$Q:$Q,"&gt;="&amp;L$4,Payments!$Q:$Q,"&lt;"&amp;EDATE(L$4,1))=0,"",
SUMIFS(Payments!$H:$H,Payments!$L:$L,"="&amp;$B35,Payments!$Q:$Q,"&gt;="&amp;L$4,Payments!$Q:$Q,"&lt;"&amp;EDATE(L$4,1)))</f>
        <v/>
      </c>
      <c r="M35" s="116" t="str">
        <f>IF(SUMIFS(Payments!$H:$H,Payments!$L:$L,"="&amp;$B35,Payments!$Q:$Q,"&gt;="&amp;M$4,Payments!$Q:$Q,"&lt;"&amp;EDATE(M$4,1))=0,"",
SUMIFS(Payments!$H:$H,Payments!$L:$L,"="&amp;$B35,Payments!$Q:$Q,"&gt;="&amp;M$4,Payments!$Q:$Q,"&lt;"&amp;EDATE(M$4,1)))</f>
        <v/>
      </c>
      <c r="N35" s="116" t="str">
        <f>IF(SUMIFS(Payments!$H:$H,Payments!$L:$L,"="&amp;$B35,Payments!$Q:$Q,"&gt;="&amp;N$4,Payments!$Q:$Q,"&lt;"&amp;EDATE(N$4,1))=0,"",
SUMIFS(Payments!$H:$H,Payments!$L:$L,"="&amp;$B35,Payments!$Q:$Q,"&gt;="&amp;N$4,Payments!$Q:$Q,"&lt;"&amp;EDATE(N$4,1)))</f>
        <v/>
      </c>
      <c r="O35" s="116">
        <f t="shared" ref="O35" si="21">SUM(C35:N35)</f>
        <v>12439.35</v>
      </c>
      <c r="P35" s="116">
        <f>SUMIFS(Payments!$H:$H,Payments!$L:L,"="&amp;$B35,Payments!$Q:$Q,"="&amp;"")</f>
        <v>0</v>
      </c>
      <c r="Q35" s="116">
        <f t="shared" si="3"/>
        <v>12439.35</v>
      </c>
      <c r="R35" s="116">
        <f>VLOOKUP(B35,SETUP!H:K,4,FALSE)</f>
        <v>37000</v>
      </c>
      <c r="S35" s="116">
        <f t="shared" si="4"/>
        <v>24560.65</v>
      </c>
      <c r="T35" s="163">
        <f t="shared" ref="T35:T41" si="22">IF(Q35=0,0,Q35/Q$86)</f>
        <v>0.31428619072054392</v>
      </c>
      <c r="U35" s="163">
        <f>IF(Q35=0,0,IF(AGAR!E$8=0,"No precept",Q35/AGAR!E$8))</f>
        <v>7.9886393557378005E-2</v>
      </c>
    </row>
    <row r="36" spans="2:21" x14ac:dyDescent="0.3">
      <c r="B36" s="175" t="str">
        <f>SETUP!H30</f>
        <v>Play Equipment</v>
      </c>
      <c r="C36" s="116" t="str">
        <f>IF(SUMIFS(Payments!$H:$H,Payments!$L:$L,"="&amp;$B36,Payments!$Q:$Q,"&gt;="&amp;C$4,Payments!$Q:$Q,"&lt;"&amp;EDATE(C$4,1))=0,"",
SUMIFS(Payments!$H:$H,Payments!$L:$L,"="&amp;$B36,Payments!$Q:$Q,"&gt;="&amp;C$4,Payments!$Q:$Q,"&lt;"&amp;EDATE(C$4,1)))</f>
        <v/>
      </c>
      <c r="D36" s="116" t="str">
        <f>IF(SUMIFS(Payments!$H:$H,Payments!$L:$L,"="&amp;$B36,Payments!$Q:$Q,"&gt;="&amp;D$4,Payments!$Q:$Q,"&lt;"&amp;EDATE(D$4,1))=0,"",
SUMIFS(Payments!$H:$H,Payments!$L:$L,"="&amp;$B36,Payments!$Q:$Q,"&gt;="&amp;D$4,Payments!$Q:$Q,"&lt;"&amp;EDATE(D$4,1)))</f>
        <v/>
      </c>
      <c r="E36" s="116" t="str">
        <f>IF(SUMIFS(Payments!$H:$H,Payments!$L:$L,"="&amp;$B36,Payments!$Q:$Q,"&gt;="&amp;E$4,Payments!$Q:$Q,"&lt;"&amp;EDATE(E$4,1))=0,"",
SUMIFS(Payments!$H:$H,Payments!$L:$L,"="&amp;$B36,Payments!$Q:$Q,"&gt;="&amp;E$4,Payments!$Q:$Q,"&lt;"&amp;EDATE(E$4,1)))</f>
        <v/>
      </c>
      <c r="F36" s="116" t="str">
        <f>IF(SUMIFS(Payments!$H:$H,Payments!$L:$L,"="&amp;$B36,Payments!$Q:$Q,"&gt;="&amp;F$4,Payments!$Q:$Q,"&lt;"&amp;EDATE(F$4,1))=0,"",
SUMIFS(Payments!$H:$H,Payments!$L:$L,"="&amp;$B36,Payments!$Q:$Q,"&gt;="&amp;F$4,Payments!$Q:$Q,"&lt;"&amp;EDATE(F$4,1)))</f>
        <v/>
      </c>
      <c r="G36" s="116" t="str">
        <f>IF(SUMIFS(Payments!$H:$H,Payments!$L:$L,"="&amp;$B36,Payments!$Q:$Q,"&gt;="&amp;G$4,Payments!$Q:$Q,"&lt;"&amp;EDATE(G$4,1))=0,"",
SUMIFS(Payments!$H:$H,Payments!$L:$L,"="&amp;$B36,Payments!$Q:$Q,"&gt;="&amp;G$4,Payments!$Q:$Q,"&lt;"&amp;EDATE(G$4,1)))</f>
        <v/>
      </c>
      <c r="H36" s="116" t="str">
        <f>IF(SUMIFS(Payments!$H:$H,Payments!$L:$L,"="&amp;$B36,Payments!$Q:$Q,"&gt;="&amp;H$4,Payments!$Q:$Q,"&lt;"&amp;EDATE(H$4,1))=0,"",
SUMIFS(Payments!$H:$H,Payments!$L:$L,"="&amp;$B36,Payments!$Q:$Q,"&gt;="&amp;H$4,Payments!$Q:$Q,"&lt;"&amp;EDATE(H$4,1)))</f>
        <v/>
      </c>
      <c r="I36" s="116" t="str">
        <f>IF(SUMIFS(Payments!$H:$H,Payments!$L:$L,"="&amp;$B36,Payments!$Q:$Q,"&gt;="&amp;I$4,Payments!$Q:$Q,"&lt;"&amp;EDATE(I$4,1))=0,"",
SUMIFS(Payments!$H:$H,Payments!$L:$L,"="&amp;$B36,Payments!$Q:$Q,"&gt;="&amp;I$4,Payments!$Q:$Q,"&lt;"&amp;EDATE(I$4,1)))</f>
        <v/>
      </c>
      <c r="J36" s="116" t="str">
        <f>IF(SUMIFS(Payments!$H:$H,Payments!$L:$L,"="&amp;$B36,Payments!$Q:$Q,"&gt;="&amp;J$4,Payments!$Q:$Q,"&lt;"&amp;EDATE(J$4,1))=0,"",
SUMIFS(Payments!$H:$H,Payments!$L:$L,"="&amp;$B36,Payments!$Q:$Q,"&gt;="&amp;J$4,Payments!$Q:$Q,"&lt;"&amp;EDATE(J$4,1)))</f>
        <v/>
      </c>
      <c r="K36" s="116" t="str">
        <f>IF(SUMIFS(Payments!$H:$H,Payments!$L:$L,"="&amp;$B36,Payments!$Q:$Q,"&gt;="&amp;K$4,Payments!$Q:$Q,"&lt;"&amp;EDATE(K$4,1))=0,"",
SUMIFS(Payments!$H:$H,Payments!$L:$L,"="&amp;$B36,Payments!$Q:$Q,"&gt;="&amp;K$4,Payments!$Q:$Q,"&lt;"&amp;EDATE(K$4,1)))</f>
        <v/>
      </c>
      <c r="L36" s="116" t="str">
        <f>IF(SUMIFS(Payments!$H:$H,Payments!$L:$L,"="&amp;$B36,Payments!$Q:$Q,"&gt;="&amp;L$4,Payments!$Q:$Q,"&lt;"&amp;EDATE(L$4,1))=0,"",
SUMIFS(Payments!$H:$H,Payments!$L:$L,"="&amp;$B36,Payments!$Q:$Q,"&gt;="&amp;L$4,Payments!$Q:$Q,"&lt;"&amp;EDATE(L$4,1)))</f>
        <v/>
      </c>
      <c r="M36" s="116" t="str">
        <f>IF(SUMIFS(Payments!$H:$H,Payments!$L:$L,"="&amp;$B36,Payments!$Q:$Q,"&gt;="&amp;M$4,Payments!$Q:$Q,"&lt;"&amp;EDATE(M$4,1))=0,"",
SUMIFS(Payments!$H:$H,Payments!$L:$L,"="&amp;$B36,Payments!$Q:$Q,"&gt;="&amp;M$4,Payments!$Q:$Q,"&lt;"&amp;EDATE(M$4,1)))</f>
        <v/>
      </c>
      <c r="N36" s="116" t="str">
        <f>IF(SUMIFS(Payments!$H:$H,Payments!$L:$L,"="&amp;$B36,Payments!$Q:$Q,"&gt;="&amp;N$4,Payments!$Q:$Q,"&lt;"&amp;EDATE(N$4,1))=0,"",
SUMIFS(Payments!$H:$H,Payments!$L:$L,"="&amp;$B36,Payments!$Q:$Q,"&gt;="&amp;N$4,Payments!$Q:$Q,"&lt;"&amp;EDATE(N$4,1)))</f>
        <v/>
      </c>
      <c r="O36" s="116">
        <f t="shared" ref="O36" si="23">SUM(C36:N36)</f>
        <v>0</v>
      </c>
      <c r="P36" s="116">
        <f>SUMIFS(Payments!$H:$H,Payments!$L:L,"="&amp;$B36,Payments!$Q:$Q,"="&amp;"")</f>
        <v>0</v>
      </c>
      <c r="Q36" s="116">
        <f t="shared" ref="Q36" si="24">SUM(O36:P36)</f>
        <v>0</v>
      </c>
      <c r="R36" s="116">
        <f>VLOOKUP(B36,SETUP!H:K,4,FALSE)</f>
        <v>2000</v>
      </c>
      <c r="S36" s="116">
        <f t="shared" ref="S36" si="25">R36-Q36</f>
        <v>2000</v>
      </c>
      <c r="T36" s="163">
        <f t="shared" si="22"/>
        <v>0</v>
      </c>
      <c r="U36" s="163">
        <f>IF(Q36=0,0,IF(AGAR!E$8=0,"No precept",Q36/AGAR!E$8))</f>
        <v>0</v>
      </c>
    </row>
    <row r="37" spans="2:21" x14ac:dyDescent="0.3">
      <c r="B37" s="175" t="str">
        <f>SETUP!H31</f>
        <v>Play Area Inspections</v>
      </c>
      <c r="C37" s="116">
        <f>IF(SUMIFS(Payments!$H:$H,Payments!$L:$L,"="&amp;$B37,Payments!$Q:$Q,"&gt;="&amp;C$4,Payments!$Q:$Q,"&lt;"&amp;EDATE(C$4,1))=0,"",
SUMIFS(Payments!$H:$H,Payments!$L:$L,"="&amp;$B37,Payments!$Q:$Q,"&gt;="&amp;C$4,Payments!$Q:$Q,"&lt;"&amp;EDATE(C$4,1)))</f>
        <v>90</v>
      </c>
      <c r="D37" s="116">
        <f>IF(SUMIFS(Payments!$H:$H,Payments!$L:$L,"="&amp;$B37,Payments!$Q:$Q,"&gt;="&amp;D$4,Payments!$Q:$Q,"&lt;"&amp;EDATE(D$4,1))=0,"",
SUMIFS(Payments!$H:$H,Payments!$L:$L,"="&amp;$B37,Payments!$Q:$Q,"&gt;="&amp;D$4,Payments!$Q:$Q,"&lt;"&amp;EDATE(D$4,1)))</f>
        <v>113.5</v>
      </c>
      <c r="E37" s="116" t="str">
        <f>IF(SUMIFS(Payments!$H:$H,Payments!$L:$L,"="&amp;$B37,Payments!$Q:$Q,"&gt;="&amp;E$4,Payments!$Q:$Q,"&lt;"&amp;EDATE(E$4,1))=0,"",
SUMIFS(Payments!$H:$H,Payments!$L:$L,"="&amp;$B37,Payments!$Q:$Q,"&gt;="&amp;E$4,Payments!$Q:$Q,"&lt;"&amp;EDATE(E$4,1)))</f>
        <v/>
      </c>
      <c r="F37" s="116" t="str">
        <f>IF(SUMIFS(Payments!$H:$H,Payments!$L:$L,"="&amp;$B37,Payments!$Q:$Q,"&gt;="&amp;F$4,Payments!$Q:$Q,"&lt;"&amp;EDATE(F$4,1))=0,"",
SUMIFS(Payments!$H:$H,Payments!$L:$L,"="&amp;$B37,Payments!$Q:$Q,"&gt;="&amp;F$4,Payments!$Q:$Q,"&lt;"&amp;EDATE(F$4,1)))</f>
        <v/>
      </c>
      <c r="G37" s="116" t="str">
        <f>IF(SUMIFS(Payments!$H:$H,Payments!$L:$L,"="&amp;$B37,Payments!$Q:$Q,"&gt;="&amp;G$4,Payments!$Q:$Q,"&lt;"&amp;EDATE(G$4,1))=0,"",
SUMIFS(Payments!$H:$H,Payments!$L:$L,"="&amp;$B37,Payments!$Q:$Q,"&gt;="&amp;G$4,Payments!$Q:$Q,"&lt;"&amp;EDATE(G$4,1)))</f>
        <v/>
      </c>
      <c r="H37" s="116" t="str">
        <f>IF(SUMIFS(Payments!$H:$H,Payments!$L:$L,"="&amp;$B37,Payments!$Q:$Q,"&gt;="&amp;H$4,Payments!$Q:$Q,"&lt;"&amp;EDATE(H$4,1))=0,"",
SUMIFS(Payments!$H:$H,Payments!$L:$L,"="&amp;$B37,Payments!$Q:$Q,"&gt;="&amp;H$4,Payments!$Q:$Q,"&lt;"&amp;EDATE(H$4,1)))</f>
        <v/>
      </c>
      <c r="I37" s="116" t="str">
        <f>IF(SUMIFS(Payments!$H:$H,Payments!$L:$L,"="&amp;$B37,Payments!$Q:$Q,"&gt;="&amp;I$4,Payments!$Q:$Q,"&lt;"&amp;EDATE(I$4,1))=0,"",
SUMIFS(Payments!$H:$H,Payments!$L:$L,"="&amp;$B37,Payments!$Q:$Q,"&gt;="&amp;I$4,Payments!$Q:$Q,"&lt;"&amp;EDATE(I$4,1)))</f>
        <v/>
      </c>
      <c r="J37" s="116" t="str">
        <f>IF(SUMIFS(Payments!$H:$H,Payments!$L:$L,"="&amp;$B37,Payments!$Q:$Q,"&gt;="&amp;J$4,Payments!$Q:$Q,"&lt;"&amp;EDATE(J$4,1))=0,"",
SUMIFS(Payments!$H:$H,Payments!$L:$L,"="&amp;$B37,Payments!$Q:$Q,"&gt;="&amp;J$4,Payments!$Q:$Q,"&lt;"&amp;EDATE(J$4,1)))</f>
        <v/>
      </c>
      <c r="K37" s="116" t="str">
        <f>IF(SUMIFS(Payments!$H:$H,Payments!$L:$L,"="&amp;$B37,Payments!$Q:$Q,"&gt;="&amp;K$4,Payments!$Q:$Q,"&lt;"&amp;EDATE(K$4,1))=0,"",
SUMIFS(Payments!$H:$H,Payments!$L:$L,"="&amp;$B37,Payments!$Q:$Q,"&gt;="&amp;K$4,Payments!$Q:$Q,"&lt;"&amp;EDATE(K$4,1)))</f>
        <v/>
      </c>
      <c r="L37" s="116" t="str">
        <f>IF(SUMIFS(Payments!$H:$H,Payments!$L:$L,"="&amp;$B37,Payments!$Q:$Q,"&gt;="&amp;L$4,Payments!$Q:$Q,"&lt;"&amp;EDATE(L$4,1))=0,"",
SUMIFS(Payments!$H:$H,Payments!$L:$L,"="&amp;$B37,Payments!$Q:$Q,"&gt;="&amp;L$4,Payments!$Q:$Q,"&lt;"&amp;EDATE(L$4,1)))</f>
        <v/>
      </c>
      <c r="M37" s="116" t="str">
        <f>IF(SUMIFS(Payments!$H:$H,Payments!$L:$L,"="&amp;$B37,Payments!$Q:$Q,"&gt;="&amp;M$4,Payments!$Q:$Q,"&lt;"&amp;EDATE(M$4,1))=0,"",
SUMIFS(Payments!$H:$H,Payments!$L:$L,"="&amp;$B37,Payments!$Q:$Q,"&gt;="&amp;M$4,Payments!$Q:$Q,"&lt;"&amp;EDATE(M$4,1)))</f>
        <v/>
      </c>
      <c r="N37" s="116" t="str">
        <f>IF(SUMIFS(Payments!$H:$H,Payments!$L:$L,"="&amp;$B37,Payments!$Q:$Q,"&gt;="&amp;N$4,Payments!$Q:$Q,"&lt;"&amp;EDATE(N$4,1))=0,"",
SUMIFS(Payments!$H:$H,Payments!$L:$L,"="&amp;$B37,Payments!$Q:$Q,"&gt;="&amp;N$4,Payments!$Q:$Q,"&lt;"&amp;EDATE(N$4,1)))</f>
        <v/>
      </c>
      <c r="O37" s="116">
        <f t="shared" ref="O37:O79" si="26">SUM(C37:N37)</f>
        <v>203.5</v>
      </c>
      <c r="P37" s="116">
        <f>SUMIFS(Payments!$H:$H,Payments!$L:L,"="&amp;$B37,Payments!$Q:$Q,"="&amp;"")</f>
        <v>0</v>
      </c>
      <c r="Q37" s="116">
        <f t="shared" ref="Q37:Q79" si="27">SUM(O37:P37)</f>
        <v>203.5</v>
      </c>
      <c r="R37" s="116">
        <f>VLOOKUP(B37,SETUP!H:K,4,FALSE)</f>
        <v>1100</v>
      </c>
      <c r="S37" s="116">
        <f t="shared" ref="S37:S79" si="28">R37-Q37</f>
        <v>896.5</v>
      </c>
      <c r="T37" s="163">
        <f t="shared" si="22"/>
        <v>5.1415258684441457E-3</v>
      </c>
      <c r="U37" s="163">
        <f>IF(Q37=0,0,IF(AGAR!E$8=0,"No precept",Q37/AGAR!E$8))</f>
        <v>1.3068915247924065E-3</v>
      </c>
    </row>
    <row r="38" spans="2:21" x14ac:dyDescent="0.3">
      <c r="B38" s="175" t="str">
        <f>SETUP!H32</f>
        <v>Waste Disposal</v>
      </c>
      <c r="C38" s="116">
        <f>IF(SUMIFS(Payments!$H:$H,Payments!$L:$L,"="&amp;$B38,Payments!$Q:$Q,"&gt;="&amp;C$4,Payments!$Q:$Q,"&lt;"&amp;EDATE(C$4,1))=0,"",
SUMIFS(Payments!$H:$H,Payments!$L:$L,"="&amp;$B38,Payments!$Q:$Q,"&gt;="&amp;C$4,Payments!$Q:$Q,"&lt;"&amp;EDATE(C$4,1)))</f>
        <v>146.46</v>
      </c>
      <c r="D38" s="116" t="str">
        <f>IF(SUMIFS(Payments!$H:$H,Payments!$L:$L,"="&amp;$B38,Payments!$Q:$Q,"&gt;="&amp;D$4,Payments!$Q:$Q,"&lt;"&amp;EDATE(D$4,1))=0,"",
SUMIFS(Payments!$H:$H,Payments!$L:$L,"="&amp;$B38,Payments!$Q:$Q,"&gt;="&amp;D$4,Payments!$Q:$Q,"&lt;"&amp;EDATE(D$4,1)))</f>
        <v/>
      </c>
      <c r="E38" s="116" t="str">
        <f>IF(SUMIFS(Payments!$H:$H,Payments!$L:$L,"="&amp;$B38,Payments!$Q:$Q,"&gt;="&amp;E$4,Payments!$Q:$Q,"&lt;"&amp;EDATE(E$4,1))=0,"",
SUMIFS(Payments!$H:$H,Payments!$L:$L,"="&amp;$B38,Payments!$Q:$Q,"&gt;="&amp;E$4,Payments!$Q:$Q,"&lt;"&amp;EDATE(E$4,1)))</f>
        <v/>
      </c>
      <c r="F38" s="116" t="str">
        <f>IF(SUMIFS(Payments!$H:$H,Payments!$L:$L,"="&amp;$B38,Payments!$Q:$Q,"&gt;="&amp;F$4,Payments!$Q:$Q,"&lt;"&amp;EDATE(F$4,1))=0,"",
SUMIFS(Payments!$H:$H,Payments!$L:$L,"="&amp;$B38,Payments!$Q:$Q,"&gt;="&amp;F$4,Payments!$Q:$Q,"&lt;"&amp;EDATE(F$4,1)))</f>
        <v/>
      </c>
      <c r="G38" s="116" t="str">
        <f>IF(SUMIFS(Payments!$H:$H,Payments!$L:$L,"="&amp;$B38,Payments!$Q:$Q,"&gt;="&amp;G$4,Payments!$Q:$Q,"&lt;"&amp;EDATE(G$4,1))=0,"",
SUMIFS(Payments!$H:$H,Payments!$L:$L,"="&amp;$B38,Payments!$Q:$Q,"&gt;="&amp;G$4,Payments!$Q:$Q,"&lt;"&amp;EDATE(G$4,1)))</f>
        <v/>
      </c>
      <c r="H38" s="116" t="str">
        <f>IF(SUMIFS(Payments!$H:$H,Payments!$L:$L,"="&amp;$B38,Payments!$Q:$Q,"&gt;="&amp;H$4,Payments!$Q:$Q,"&lt;"&amp;EDATE(H$4,1))=0,"",
SUMIFS(Payments!$H:$H,Payments!$L:$L,"="&amp;$B38,Payments!$Q:$Q,"&gt;="&amp;H$4,Payments!$Q:$Q,"&lt;"&amp;EDATE(H$4,1)))</f>
        <v/>
      </c>
      <c r="I38" s="116" t="str">
        <f>IF(SUMIFS(Payments!$H:$H,Payments!$L:$L,"="&amp;$B38,Payments!$Q:$Q,"&gt;="&amp;I$4,Payments!$Q:$Q,"&lt;"&amp;EDATE(I$4,1))=0,"",
SUMIFS(Payments!$H:$H,Payments!$L:$L,"="&amp;$B38,Payments!$Q:$Q,"&gt;="&amp;I$4,Payments!$Q:$Q,"&lt;"&amp;EDATE(I$4,1)))</f>
        <v/>
      </c>
      <c r="J38" s="116" t="str">
        <f>IF(SUMIFS(Payments!$H:$H,Payments!$L:$L,"="&amp;$B38,Payments!$Q:$Q,"&gt;="&amp;J$4,Payments!$Q:$Q,"&lt;"&amp;EDATE(J$4,1))=0,"",
SUMIFS(Payments!$H:$H,Payments!$L:$L,"="&amp;$B38,Payments!$Q:$Q,"&gt;="&amp;J$4,Payments!$Q:$Q,"&lt;"&amp;EDATE(J$4,1)))</f>
        <v/>
      </c>
      <c r="K38" s="116" t="str">
        <f>IF(SUMIFS(Payments!$H:$H,Payments!$L:$L,"="&amp;$B38,Payments!$Q:$Q,"&gt;="&amp;K$4,Payments!$Q:$Q,"&lt;"&amp;EDATE(K$4,1))=0,"",
SUMIFS(Payments!$H:$H,Payments!$L:$L,"="&amp;$B38,Payments!$Q:$Q,"&gt;="&amp;K$4,Payments!$Q:$Q,"&lt;"&amp;EDATE(K$4,1)))</f>
        <v/>
      </c>
      <c r="L38" s="116" t="str">
        <f>IF(SUMIFS(Payments!$H:$H,Payments!$L:$L,"="&amp;$B38,Payments!$Q:$Q,"&gt;="&amp;L$4,Payments!$Q:$Q,"&lt;"&amp;EDATE(L$4,1))=0,"",
SUMIFS(Payments!$H:$H,Payments!$L:$L,"="&amp;$B38,Payments!$Q:$Q,"&gt;="&amp;L$4,Payments!$Q:$Q,"&lt;"&amp;EDATE(L$4,1)))</f>
        <v/>
      </c>
      <c r="M38" s="116" t="str">
        <f>IF(SUMIFS(Payments!$H:$H,Payments!$L:$L,"="&amp;$B38,Payments!$Q:$Q,"&gt;="&amp;M$4,Payments!$Q:$Q,"&lt;"&amp;EDATE(M$4,1))=0,"",
SUMIFS(Payments!$H:$H,Payments!$L:$L,"="&amp;$B38,Payments!$Q:$Q,"&gt;="&amp;M$4,Payments!$Q:$Q,"&lt;"&amp;EDATE(M$4,1)))</f>
        <v/>
      </c>
      <c r="N38" s="116" t="str">
        <f>IF(SUMIFS(Payments!$H:$H,Payments!$L:$L,"="&amp;$B38,Payments!$Q:$Q,"&gt;="&amp;N$4,Payments!$Q:$Q,"&lt;"&amp;EDATE(N$4,1))=0,"",
SUMIFS(Payments!$H:$H,Payments!$L:$L,"="&amp;$B38,Payments!$Q:$Q,"&gt;="&amp;N$4,Payments!$Q:$Q,"&lt;"&amp;EDATE(N$4,1)))</f>
        <v/>
      </c>
      <c r="O38" s="116">
        <f t="shared" si="26"/>
        <v>146.46</v>
      </c>
      <c r="P38" s="116">
        <f>SUMIFS(Payments!$H:$H,Payments!$L:L,"="&amp;$B38,Payments!$Q:$Q,"="&amp;"")</f>
        <v>0</v>
      </c>
      <c r="Q38" s="116">
        <f t="shared" si="27"/>
        <v>146.46</v>
      </c>
      <c r="R38" s="116">
        <f>VLOOKUP(B38,SETUP!H:K,4,FALSE)</f>
        <v>2000</v>
      </c>
      <c r="S38" s="116">
        <f t="shared" si="28"/>
        <v>1853.54</v>
      </c>
      <c r="T38" s="163">
        <f t="shared" si="22"/>
        <v>3.7003826962768039E-3</v>
      </c>
      <c r="U38" s="163">
        <f>IF(Q38=0,0,IF(AGAR!E$8=0,"No precept",Q38/AGAR!E$8))</f>
        <v>9.405765735680387E-4</v>
      </c>
    </row>
    <row r="39" spans="2:21" x14ac:dyDescent="0.3">
      <c r="B39" s="175" t="str">
        <f>SETUP!H33</f>
        <v>Utilities</v>
      </c>
      <c r="C39" s="116">
        <f>IF(SUMIFS(Payments!$H:$H,Payments!$L:$L,"="&amp;$B39,Payments!$Q:$Q,"&gt;="&amp;C$4,Payments!$Q:$Q,"&lt;"&amp;EDATE(C$4,1))=0,"",
SUMIFS(Payments!$H:$H,Payments!$L:$L,"="&amp;$B39,Payments!$Q:$Q,"&gt;="&amp;C$4,Payments!$Q:$Q,"&lt;"&amp;EDATE(C$4,1)))</f>
        <v>297.87</v>
      </c>
      <c r="D39" s="116">
        <f>IF(SUMIFS(Payments!$H:$H,Payments!$L:$L,"="&amp;$B39,Payments!$Q:$Q,"&gt;="&amp;D$4,Payments!$Q:$Q,"&lt;"&amp;EDATE(D$4,1))=0,"",
SUMIFS(Payments!$H:$H,Payments!$L:$L,"="&amp;$B39,Payments!$Q:$Q,"&gt;="&amp;D$4,Payments!$Q:$Q,"&lt;"&amp;EDATE(D$4,1)))</f>
        <v>237.13</v>
      </c>
      <c r="E39" s="116" t="str">
        <f>IF(SUMIFS(Payments!$H:$H,Payments!$L:$L,"="&amp;$B39,Payments!$Q:$Q,"&gt;="&amp;E$4,Payments!$Q:$Q,"&lt;"&amp;EDATE(E$4,1))=0,"",
SUMIFS(Payments!$H:$H,Payments!$L:$L,"="&amp;$B39,Payments!$Q:$Q,"&gt;="&amp;E$4,Payments!$Q:$Q,"&lt;"&amp;EDATE(E$4,1)))</f>
        <v/>
      </c>
      <c r="F39" s="116" t="str">
        <f>IF(SUMIFS(Payments!$H:$H,Payments!$L:$L,"="&amp;$B39,Payments!$Q:$Q,"&gt;="&amp;F$4,Payments!$Q:$Q,"&lt;"&amp;EDATE(F$4,1))=0,"",
SUMIFS(Payments!$H:$H,Payments!$L:$L,"="&amp;$B39,Payments!$Q:$Q,"&gt;="&amp;F$4,Payments!$Q:$Q,"&lt;"&amp;EDATE(F$4,1)))</f>
        <v/>
      </c>
      <c r="G39" s="116" t="str">
        <f>IF(SUMIFS(Payments!$H:$H,Payments!$L:$L,"="&amp;$B39,Payments!$Q:$Q,"&gt;="&amp;G$4,Payments!$Q:$Q,"&lt;"&amp;EDATE(G$4,1))=0,"",
SUMIFS(Payments!$H:$H,Payments!$L:$L,"="&amp;$B39,Payments!$Q:$Q,"&gt;="&amp;G$4,Payments!$Q:$Q,"&lt;"&amp;EDATE(G$4,1)))</f>
        <v/>
      </c>
      <c r="H39" s="116" t="str">
        <f>IF(SUMIFS(Payments!$H:$H,Payments!$L:$L,"="&amp;$B39,Payments!$Q:$Q,"&gt;="&amp;H$4,Payments!$Q:$Q,"&lt;"&amp;EDATE(H$4,1))=0,"",
SUMIFS(Payments!$H:$H,Payments!$L:$L,"="&amp;$B39,Payments!$Q:$Q,"&gt;="&amp;H$4,Payments!$Q:$Q,"&lt;"&amp;EDATE(H$4,1)))</f>
        <v/>
      </c>
      <c r="I39" s="116" t="str">
        <f>IF(SUMIFS(Payments!$H:$H,Payments!$L:$L,"="&amp;$B39,Payments!$Q:$Q,"&gt;="&amp;I$4,Payments!$Q:$Q,"&lt;"&amp;EDATE(I$4,1))=0,"",
SUMIFS(Payments!$H:$H,Payments!$L:$L,"="&amp;$B39,Payments!$Q:$Q,"&gt;="&amp;I$4,Payments!$Q:$Q,"&lt;"&amp;EDATE(I$4,1)))</f>
        <v/>
      </c>
      <c r="J39" s="116" t="str">
        <f>IF(SUMIFS(Payments!$H:$H,Payments!$L:$L,"="&amp;$B39,Payments!$Q:$Q,"&gt;="&amp;J$4,Payments!$Q:$Q,"&lt;"&amp;EDATE(J$4,1))=0,"",
SUMIFS(Payments!$H:$H,Payments!$L:$L,"="&amp;$B39,Payments!$Q:$Q,"&gt;="&amp;J$4,Payments!$Q:$Q,"&lt;"&amp;EDATE(J$4,1)))</f>
        <v/>
      </c>
      <c r="K39" s="116" t="str">
        <f>IF(SUMIFS(Payments!$H:$H,Payments!$L:$L,"="&amp;$B39,Payments!$Q:$Q,"&gt;="&amp;K$4,Payments!$Q:$Q,"&lt;"&amp;EDATE(K$4,1))=0,"",
SUMIFS(Payments!$H:$H,Payments!$L:$L,"="&amp;$B39,Payments!$Q:$Q,"&gt;="&amp;K$4,Payments!$Q:$Q,"&lt;"&amp;EDATE(K$4,1)))</f>
        <v/>
      </c>
      <c r="L39" s="116" t="str">
        <f>IF(SUMIFS(Payments!$H:$H,Payments!$L:$L,"="&amp;$B39,Payments!$Q:$Q,"&gt;="&amp;L$4,Payments!$Q:$Q,"&lt;"&amp;EDATE(L$4,1))=0,"",
SUMIFS(Payments!$H:$H,Payments!$L:$L,"="&amp;$B39,Payments!$Q:$Q,"&gt;="&amp;L$4,Payments!$Q:$Q,"&lt;"&amp;EDATE(L$4,1)))</f>
        <v/>
      </c>
      <c r="M39" s="116" t="str">
        <f>IF(SUMIFS(Payments!$H:$H,Payments!$L:$L,"="&amp;$B39,Payments!$Q:$Q,"&gt;="&amp;M$4,Payments!$Q:$Q,"&lt;"&amp;EDATE(M$4,1))=0,"",
SUMIFS(Payments!$H:$H,Payments!$L:$L,"="&amp;$B39,Payments!$Q:$Q,"&gt;="&amp;M$4,Payments!$Q:$Q,"&lt;"&amp;EDATE(M$4,1)))</f>
        <v/>
      </c>
      <c r="N39" s="116" t="str">
        <f>IF(SUMIFS(Payments!$H:$H,Payments!$L:$L,"="&amp;$B39,Payments!$Q:$Q,"&gt;="&amp;N$4,Payments!$Q:$Q,"&lt;"&amp;EDATE(N$4,1))=0,"",
SUMIFS(Payments!$H:$H,Payments!$L:$L,"="&amp;$B39,Payments!$Q:$Q,"&gt;="&amp;N$4,Payments!$Q:$Q,"&lt;"&amp;EDATE(N$4,1)))</f>
        <v/>
      </c>
      <c r="O39" s="116">
        <f t="shared" si="26"/>
        <v>535</v>
      </c>
      <c r="P39" s="116">
        <f>SUMIFS(Payments!$H:$H,Payments!$L:L,"="&amp;$B39,Payments!$Q:$Q,"="&amp;"")</f>
        <v>0</v>
      </c>
      <c r="Q39" s="116">
        <f t="shared" si="27"/>
        <v>535</v>
      </c>
      <c r="R39" s="116">
        <f>VLOOKUP(B39,SETUP!H:K,4,FALSE)</f>
        <v>3000</v>
      </c>
      <c r="S39" s="116">
        <f t="shared" si="28"/>
        <v>2465</v>
      </c>
      <c r="T39" s="163">
        <f t="shared" si="22"/>
        <v>1.3517033609914584E-2</v>
      </c>
      <c r="U39" s="163">
        <f>IF(Q39=0,0,IF(AGAR!E$8=0,"No precept",Q39/AGAR!E$8))</f>
        <v>3.4358081855721746E-3</v>
      </c>
    </row>
    <row r="40" spans="2:21" x14ac:dyDescent="0.3">
      <c r="B40" s="175" t="str">
        <f>SETUP!H34</f>
        <v>Spare Code</v>
      </c>
      <c r="C40" s="116" t="str">
        <f>IF(SUMIFS(Payments!$H:$H,Payments!$L:$L,"="&amp;$B40,Payments!$Q:$Q,"&gt;="&amp;C$4,Payments!$Q:$Q,"&lt;"&amp;EDATE(C$4,1))=0,"",
SUMIFS(Payments!$H:$H,Payments!$L:$L,"="&amp;$B40,Payments!$Q:$Q,"&gt;="&amp;C$4,Payments!$Q:$Q,"&lt;"&amp;EDATE(C$4,1)))</f>
        <v/>
      </c>
      <c r="D40" s="116" t="str">
        <f>IF(SUMIFS(Payments!$H:$H,Payments!$L:$L,"="&amp;$B40,Payments!$Q:$Q,"&gt;="&amp;D$4,Payments!$Q:$Q,"&lt;"&amp;EDATE(D$4,1))=0,"",
SUMIFS(Payments!$H:$H,Payments!$L:$L,"="&amp;$B40,Payments!$Q:$Q,"&gt;="&amp;D$4,Payments!$Q:$Q,"&lt;"&amp;EDATE(D$4,1)))</f>
        <v/>
      </c>
      <c r="E40" s="116" t="str">
        <f>IF(SUMIFS(Payments!$H:$H,Payments!$L:$L,"="&amp;$B40,Payments!$Q:$Q,"&gt;="&amp;E$4,Payments!$Q:$Q,"&lt;"&amp;EDATE(E$4,1))=0,"",
SUMIFS(Payments!$H:$H,Payments!$L:$L,"="&amp;$B40,Payments!$Q:$Q,"&gt;="&amp;E$4,Payments!$Q:$Q,"&lt;"&amp;EDATE(E$4,1)))</f>
        <v/>
      </c>
      <c r="F40" s="116" t="str">
        <f>IF(SUMIFS(Payments!$H:$H,Payments!$L:$L,"="&amp;$B40,Payments!$Q:$Q,"&gt;="&amp;F$4,Payments!$Q:$Q,"&lt;"&amp;EDATE(F$4,1))=0,"",
SUMIFS(Payments!$H:$H,Payments!$L:$L,"="&amp;$B40,Payments!$Q:$Q,"&gt;="&amp;F$4,Payments!$Q:$Q,"&lt;"&amp;EDATE(F$4,1)))</f>
        <v/>
      </c>
      <c r="G40" s="116" t="str">
        <f>IF(SUMIFS(Payments!$H:$H,Payments!$L:$L,"="&amp;$B40,Payments!$Q:$Q,"&gt;="&amp;G$4,Payments!$Q:$Q,"&lt;"&amp;EDATE(G$4,1))=0,"",
SUMIFS(Payments!$H:$H,Payments!$L:$L,"="&amp;$B40,Payments!$Q:$Q,"&gt;="&amp;G$4,Payments!$Q:$Q,"&lt;"&amp;EDATE(G$4,1)))</f>
        <v/>
      </c>
      <c r="H40" s="116" t="str">
        <f>IF(SUMIFS(Payments!$H:$H,Payments!$L:$L,"="&amp;$B40,Payments!$Q:$Q,"&gt;="&amp;H$4,Payments!$Q:$Q,"&lt;"&amp;EDATE(H$4,1))=0,"",
SUMIFS(Payments!$H:$H,Payments!$L:$L,"="&amp;$B40,Payments!$Q:$Q,"&gt;="&amp;H$4,Payments!$Q:$Q,"&lt;"&amp;EDATE(H$4,1)))</f>
        <v/>
      </c>
      <c r="I40" s="116" t="str">
        <f>IF(SUMIFS(Payments!$H:$H,Payments!$L:$L,"="&amp;$B40,Payments!$Q:$Q,"&gt;="&amp;I$4,Payments!$Q:$Q,"&lt;"&amp;EDATE(I$4,1))=0,"",
SUMIFS(Payments!$H:$H,Payments!$L:$L,"="&amp;$B40,Payments!$Q:$Q,"&gt;="&amp;I$4,Payments!$Q:$Q,"&lt;"&amp;EDATE(I$4,1)))</f>
        <v/>
      </c>
      <c r="J40" s="116" t="str">
        <f>IF(SUMIFS(Payments!$H:$H,Payments!$L:$L,"="&amp;$B40,Payments!$Q:$Q,"&gt;="&amp;J$4,Payments!$Q:$Q,"&lt;"&amp;EDATE(J$4,1))=0,"",
SUMIFS(Payments!$H:$H,Payments!$L:$L,"="&amp;$B40,Payments!$Q:$Q,"&gt;="&amp;J$4,Payments!$Q:$Q,"&lt;"&amp;EDATE(J$4,1)))</f>
        <v/>
      </c>
      <c r="K40" s="116" t="str">
        <f>IF(SUMIFS(Payments!$H:$H,Payments!$L:$L,"="&amp;$B40,Payments!$Q:$Q,"&gt;="&amp;K$4,Payments!$Q:$Q,"&lt;"&amp;EDATE(K$4,1))=0,"",
SUMIFS(Payments!$H:$H,Payments!$L:$L,"="&amp;$B40,Payments!$Q:$Q,"&gt;="&amp;K$4,Payments!$Q:$Q,"&lt;"&amp;EDATE(K$4,1)))</f>
        <v/>
      </c>
      <c r="L40" s="116" t="str">
        <f>IF(SUMIFS(Payments!$H:$H,Payments!$L:$L,"="&amp;$B40,Payments!$Q:$Q,"&gt;="&amp;L$4,Payments!$Q:$Q,"&lt;"&amp;EDATE(L$4,1))=0,"",
SUMIFS(Payments!$H:$H,Payments!$L:$L,"="&amp;$B40,Payments!$Q:$Q,"&gt;="&amp;L$4,Payments!$Q:$Q,"&lt;"&amp;EDATE(L$4,1)))</f>
        <v/>
      </c>
      <c r="M40" s="116" t="str">
        <f>IF(SUMIFS(Payments!$H:$H,Payments!$L:$L,"="&amp;$B40,Payments!$Q:$Q,"&gt;="&amp;M$4,Payments!$Q:$Q,"&lt;"&amp;EDATE(M$4,1))=0,"",
SUMIFS(Payments!$H:$H,Payments!$L:$L,"="&amp;$B40,Payments!$Q:$Q,"&gt;="&amp;M$4,Payments!$Q:$Q,"&lt;"&amp;EDATE(M$4,1)))</f>
        <v/>
      </c>
      <c r="N40" s="116" t="str">
        <f>IF(SUMIFS(Payments!$H:$H,Payments!$L:$L,"="&amp;$B40,Payments!$Q:$Q,"&gt;="&amp;N$4,Payments!$Q:$Q,"&lt;"&amp;EDATE(N$4,1))=0,"",
SUMIFS(Payments!$H:$H,Payments!$L:$L,"="&amp;$B40,Payments!$Q:$Q,"&gt;="&amp;N$4,Payments!$Q:$Q,"&lt;"&amp;EDATE(N$4,1)))</f>
        <v/>
      </c>
      <c r="O40" s="116">
        <f t="shared" ref="O40:O41" si="29">SUM(C40:N40)</f>
        <v>0</v>
      </c>
      <c r="P40" s="116">
        <f>SUMIFS(Payments!$H:$H,Payments!$L:L,"="&amp;$B40,Payments!$Q:$Q,"="&amp;"")</f>
        <v>0</v>
      </c>
      <c r="Q40" s="116">
        <f t="shared" ref="Q40:Q41" si="30">SUM(O40:P40)</f>
        <v>0</v>
      </c>
      <c r="R40" s="116">
        <f>VLOOKUP(B40,SETUP!H:K,4,FALSE)</f>
        <v>0</v>
      </c>
      <c r="S40" s="116">
        <f t="shared" ref="S40:S41" si="31">R40-Q40</f>
        <v>0</v>
      </c>
      <c r="T40" s="163">
        <f t="shared" si="22"/>
        <v>0</v>
      </c>
      <c r="U40" s="163">
        <f>IF(Q40=0,0,IF(AGAR!E$8=0,"No precept",Q40/AGAR!E$8))</f>
        <v>0</v>
      </c>
    </row>
    <row r="41" spans="2:21" x14ac:dyDescent="0.3">
      <c r="B41" s="175" t="str">
        <f>SETUP!H35</f>
        <v>Spare Code</v>
      </c>
      <c r="C41" s="116" t="str">
        <f>IF(SUMIFS(Payments!$H:$H,Payments!$L:$L,"="&amp;$B41,Payments!$Q:$Q,"&gt;="&amp;C$4,Payments!$Q:$Q,"&lt;"&amp;EDATE(C$4,1))=0,"",
SUMIFS(Payments!$H:$H,Payments!$L:$L,"="&amp;$B41,Payments!$Q:$Q,"&gt;="&amp;C$4,Payments!$Q:$Q,"&lt;"&amp;EDATE(C$4,1)))</f>
        <v/>
      </c>
      <c r="D41" s="116" t="str">
        <f>IF(SUMIFS(Payments!$H:$H,Payments!$L:$L,"="&amp;$B41,Payments!$Q:$Q,"&gt;="&amp;D$4,Payments!$Q:$Q,"&lt;"&amp;EDATE(D$4,1))=0,"",
SUMIFS(Payments!$H:$H,Payments!$L:$L,"="&amp;$B41,Payments!$Q:$Q,"&gt;="&amp;D$4,Payments!$Q:$Q,"&lt;"&amp;EDATE(D$4,1)))</f>
        <v/>
      </c>
      <c r="E41" s="116" t="str">
        <f>IF(SUMIFS(Payments!$H:$H,Payments!$L:$L,"="&amp;$B41,Payments!$Q:$Q,"&gt;="&amp;E$4,Payments!$Q:$Q,"&lt;"&amp;EDATE(E$4,1))=0,"",
SUMIFS(Payments!$H:$H,Payments!$L:$L,"="&amp;$B41,Payments!$Q:$Q,"&gt;="&amp;E$4,Payments!$Q:$Q,"&lt;"&amp;EDATE(E$4,1)))</f>
        <v/>
      </c>
      <c r="F41" s="116" t="str">
        <f>IF(SUMIFS(Payments!$H:$H,Payments!$L:$L,"="&amp;$B41,Payments!$Q:$Q,"&gt;="&amp;F$4,Payments!$Q:$Q,"&lt;"&amp;EDATE(F$4,1))=0,"",
SUMIFS(Payments!$H:$H,Payments!$L:$L,"="&amp;$B41,Payments!$Q:$Q,"&gt;="&amp;F$4,Payments!$Q:$Q,"&lt;"&amp;EDATE(F$4,1)))</f>
        <v/>
      </c>
      <c r="G41" s="116" t="str">
        <f>IF(SUMIFS(Payments!$H:$H,Payments!$L:$L,"="&amp;$B41,Payments!$Q:$Q,"&gt;="&amp;G$4,Payments!$Q:$Q,"&lt;"&amp;EDATE(G$4,1))=0,"",
SUMIFS(Payments!$H:$H,Payments!$L:$L,"="&amp;$B41,Payments!$Q:$Q,"&gt;="&amp;G$4,Payments!$Q:$Q,"&lt;"&amp;EDATE(G$4,1)))</f>
        <v/>
      </c>
      <c r="H41" s="116" t="str">
        <f>IF(SUMIFS(Payments!$H:$H,Payments!$L:$L,"="&amp;$B41,Payments!$Q:$Q,"&gt;="&amp;H$4,Payments!$Q:$Q,"&lt;"&amp;EDATE(H$4,1))=0,"",
SUMIFS(Payments!$H:$H,Payments!$L:$L,"="&amp;$B41,Payments!$Q:$Q,"&gt;="&amp;H$4,Payments!$Q:$Q,"&lt;"&amp;EDATE(H$4,1)))</f>
        <v/>
      </c>
      <c r="I41" s="116" t="str">
        <f>IF(SUMIFS(Payments!$H:$H,Payments!$L:$L,"="&amp;$B41,Payments!$Q:$Q,"&gt;="&amp;I$4,Payments!$Q:$Q,"&lt;"&amp;EDATE(I$4,1))=0,"",
SUMIFS(Payments!$H:$H,Payments!$L:$L,"="&amp;$B41,Payments!$Q:$Q,"&gt;="&amp;I$4,Payments!$Q:$Q,"&lt;"&amp;EDATE(I$4,1)))</f>
        <v/>
      </c>
      <c r="J41" s="116" t="str">
        <f>IF(SUMIFS(Payments!$H:$H,Payments!$L:$L,"="&amp;$B41,Payments!$Q:$Q,"&gt;="&amp;J$4,Payments!$Q:$Q,"&lt;"&amp;EDATE(J$4,1))=0,"",
SUMIFS(Payments!$H:$H,Payments!$L:$L,"="&amp;$B41,Payments!$Q:$Q,"&gt;="&amp;J$4,Payments!$Q:$Q,"&lt;"&amp;EDATE(J$4,1)))</f>
        <v/>
      </c>
      <c r="K41" s="116" t="str">
        <f>IF(SUMIFS(Payments!$H:$H,Payments!$L:$L,"="&amp;$B41,Payments!$Q:$Q,"&gt;="&amp;K$4,Payments!$Q:$Q,"&lt;"&amp;EDATE(K$4,1))=0,"",
SUMIFS(Payments!$H:$H,Payments!$L:$L,"="&amp;$B41,Payments!$Q:$Q,"&gt;="&amp;K$4,Payments!$Q:$Q,"&lt;"&amp;EDATE(K$4,1)))</f>
        <v/>
      </c>
      <c r="L41" s="116" t="str">
        <f>IF(SUMIFS(Payments!$H:$H,Payments!$L:$L,"="&amp;$B41,Payments!$Q:$Q,"&gt;="&amp;L$4,Payments!$Q:$Q,"&lt;"&amp;EDATE(L$4,1))=0,"",
SUMIFS(Payments!$H:$H,Payments!$L:$L,"="&amp;$B41,Payments!$Q:$Q,"&gt;="&amp;L$4,Payments!$Q:$Q,"&lt;"&amp;EDATE(L$4,1)))</f>
        <v/>
      </c>
      <c r="M41" s="116" t="str">
        <f>IF(SUMIFS(Payments!$H:$H,Payments!$L:$L,"="&amp;$B41,Payments!$Q:$Q,"&gt;="&amp;M$4,Payments!$Q:$Q,"&lt;"&amp;EDATE(M$4,1))=0,"",
SUMIFS(Payments!$H:$H,Payments!$L:$L,"="&amp;$B41,Payments!$Q:$Q,"&gt;="&amp;M$4,Payments!$Q:$Q,"&lt;"&amp;EDATE(M$4,1)))</f>
        <v/>
      </c>
      <c r="N41" s="116" t="str">
        <f>IF(SUMIFS(Payments!$H:$H,Payments!$L:$L,"="&amp;$B41,Payments!$Q:$Q,"&gt;="&amp;N$4,Payments!$Q:$Q,"&lt;"&amp;EDATE(N$4,1))=0,"",
SUMIFS(Payments!$H:$H,Payments!$L:$L,"="&amp;$B41,Payments!$Q:$Q,"&gt;="&amp;N$4,Payments!$Q:$Q,"&lt;"&amp;EDATE(N$4,1)))</f>
        <v/>
      </c>
      <c r="O41" s="116">
        <f t="shared" si="29"/>
        <v>0</v>
      </c>
      <c r="P41" s="116">
        <f>SUMIFS(Payments!$H:$H,Payments!$L:L,"="&amp;$B41,Payments!$Q:$Q,"="&amp;"")</f>
        <v>0</v>
      </c>
      <c r="Q41" s="116">
        <f t="shared" si="30"/>
        <v>0</v>
      </c>
      <c r="R41" s="116">
        <f>VLOOKUP(B41,SETUP!H:K,4,FALSE)</f>
        <v>0</v>
      </c>
      <c r="S41" s="116">
        <f t="shared" si="31"/>
        <v>0</v>
      </c>
      <c r="T41" s="163">
        <f t="shared" si="22"/>
        <v>0</v>
      </c>
      <c r="U41" s="163">
        <f>IF(Q41=0,0,IF(AGAR!E$8=0,"No precept",Q41/AGAR!E$8))</f>
        <v>0</v>
      </c>
    </row>
    <row r="42" spans="2:21" s="150" customFormat="1" x14ac:dyDescent="0.3">
      <c r="B42" s="27" t="str">
        <f>"Total "&amp;B34</f>
        <v>Total Maintenance</v>
      </c>
      <c r="C42" s="165">
        <f>SUM(C35:C41)</f>
        <v>10622.77</v>
      </c>
      <c r="D42" s="165">
        <f t="shared" ref="D42:U42" si="32">SUM(D35:D41)</f>
        <v>2701.54</v>
      </c>
      <c r="E42" s="165">
        <f t="shared" si="32"/>
        <v>0</v>
      </c>
      <c r="F42" s="165">
        <f t="shared" si="32"/>
        <v>0</v>
      </c>
      <c r="G42" s="165">
        <f t="shared" si="32"/>
        <v>0</v>
      </c>
      <c r="H42" s="165">
        <f t="shared" si="32"/>
        <v>0</v>
      </c>
      <c r="I42" s="165">
        <f t="shared" si="32"/>
        <v>0</v>
      </c>
      <c r="J42" s="165">
        <f t="shared" si="32"/>
        <v>0</v>
      </c>
      <c r="K42" s="165">
        <f t="shared" si="32"/>
        <v>0</v>
      </c>
      <c r="L42" s="165">
        <f t="shared" si="32"/>
        <v>0</v>
      </c>
      <c r="M42" s="165">
        <f t="shared" si="32"/>
        <v>0</v>
      </c>
      <c r="N42" s="165">
        <f t="shared" si="32"/>
        <v>0</v>
      </c>
      <c r="O42" s="165">
        <f t="shared" si="32"/>
        <v>13324.31</v>
      </c>
      <c r="P42" s="165">
        <f t="shared" si="32"/>
        <v>0</v>
      </c>
      <c r="Q42" s="165">
        <f t="shared" si="32"/>
        <v>13324.31</v>
      </c>
      <c r="R42" s="165">
        <f t="shared" si="32"/>
        <v>45100</v>
      </c>
      <c r="S42" s="165">
        <f t="shared" si="32"/>
        <v>31775.690000000002</v>
      </c>
      <c r="T42" s="166">
        <f t="shared" si="32"/>
        <v>0.33664513289517944</v>
      </c>
      <c r="U42" s="166">
        <f t="shared" si="32"/>
        <v>8.5569669841310633E-2</v>
      </c>
    </row>
    <row r="44" spans="2:21" x14ac:dyDescent="0.3">
      <c r="B44" s="174" t="str">
        <f>SETUP!H36</f>
        <v>Cemetery</v>
      </c>
      <c r="C44" s="160" t="str">
        <f>IF(SUMIFS(Payments!$H:$H,Payments!$L:$L,"="&amp;$B44,Payments!$Q:$Q,"&gt;="&amp;C$4,Payments!$Q:$Q,"&lt;"&amp;EDATE(C$4,1))=0,"",
SUMIFS(Payments!$H:$H,Payments!$L:$L,"="&amp;$B44,Payments!$Q:$Q,"&gt;="&amp;C$4,Payments!$Q:$Q,"&lt;"&amp;EDATE(C$4,1)))</f>
        <v/>
      </c>
      <c r="D44" s="160" t="str">
        <f>IF(SUMIFS(Payments!$H:$H,Payments!$L:$L,"="&amp;$B44,Payments!$Q:$Q,"&gt;="&amp;D$4,Payments!$Q:$Q,"&lt;"&amp;EDATE(D$4,1))=0,"",
SUMIFS(Payments!$H:$H,Payments!$L:$L,"="&amp;$B44,Payments!$Q:$Q,"&gt;="&amp;D$4,Payments!$Q:$Q,"&lt;"&amp;EDATE(D$4,1)))</f>
        <v/>
      </c>
      <c r="E44" s="160" t="str">
        <f>IF(SUMIFS(Payments!$H:$H,Payments!$L:$L,"="&amp;$B44,Payments!$Q:$Q,"&gt;="&amp;E$4,Payments!$Q:$Q,"&lt;"&amp;EDATE(E$4,1))=0,"",
SUMIFS(Payments!$H:$H,Payments!$L:$L,"="&amp;$B44,Payments!$Q:$Q,"&gt;="&amp;E$4,Payments!$Q:$Q,"&lt;"&amp;EDATE(E$4,1)))</f>
        <v/>
      </c>
      <c r="F44" s="160" t="str">
        <f>IF(SUMIFS(Payments!$H:$H,Payments!$L:$L,"="&amp;$B44,Payments!$Q:$Q,"&gt;="&amp;F$4,Payments!$Q:$Q,"&lt;"&amp;EDATE(F$4,1))=0,"",
SUMIFS(Payments!$H:$H,Payments!$L:$L,"="&amp;$B44,Payments!$Q:$Q,"&gt;="&amp;F$4,Payments!$Q:$Q,"&lt;"&amp;EDATE(F$4,1)))</f>
        <v/>
      </c>
      <c r="G44" s="160" t="str">
        <f>IF(SUMIFS(Payments!$H:$H,Payments!$L:$L,"="&amp;$B44,Payments!$Q:$Q,"&gt;="&amp;G$4,Payments!$Q:$Q,"&lt;"&amp;EDATE(G$4,1))=0,"",
SUMIFS(Payments!$H:$H,Payments!$L:$L,"="&amp;$B44,Payments!$Q:$Q,"&gt;="&amp;G$4,Payments!$Q:$Q,"&lt;"&amp;EDATE(G$4,1)))</f>
        <v/>
      </c>
      <c r="H44" s="160" t="str">
        <f>IF(SUMIFS(Payments!$H:$H,Payments!$L:$L,"="&amp;$B44,Payments!$Q:$Q,"&gt;="&amp;H$4,Payments!$Q:$Q,"&lt;"&amp;EDATE(H$4,1))=0,"",
SUMIFS(Payments!$H:$H,Payments!$L:$L,"="&amp;$B44,Payments!$Q:$Q,"&gt;="&amp;H$4,Payments!$Q:$Q,"&lt;"&amp;EDATE(H$4,1)))</f>
        <v/>
      </c>
      <c r="I44" s="160" t="str">
        <f>IF(SUMIFS(Payments!$H:$H,Payments!$L:$L,"="&amp;$B44,Payments!$Q:$Q,"&gt;="&amp;I$4,Payments!$Q:$Q,"&lt;"&amp;EDATE(I$4,1))=0,"",
SUMIFS(Payments!$H:$H,Payments!$L:$L,"="&amp;$B44,Payments!$Q:$Q,"&gt;="&amp;I$4,Payments!$Q:$Q,"&lt;"&amp;EDATE(I$4,1)))</f>
        <v/>
      </c>
      <c r="J44" s="160" t="str">
        <f>IF(SUMIFS(Payments!$H:$H,Payments!$L:$L,"="&amp;$B44,Payments!$Q:$Q,"&gt;="&amp;J$4,Payments!$Q:$Q,"&lt;"&amp;EDATE(J$4,1))=0,"",
SUMIFS(Payments!$H:$H,Payments!$L:$L,"="&amp;$B44,Payments!$Q:$Q,"&gt;="&amp;J$4,Payments!$Q:$Q,"&lt;"&amp;EDATE(J$4,1)))</f>
        <v/>
      </c>
      <c r="K44" s="160" t="str">
        <f>IF(SUMIFS(Payments!$H:$H,Payments!$L:$L,"="&amp;$B44,Payments!$Q:$Q,"&gt;="&amp;K$4,Payments!$Q:$Q,"&lt;"&amp;EDATE(K$4,1))=0,"",
SUMIFS(Payments!$H:$H,Payments!$L:$L,"="&amp;$B44,Payments!$Q:$Q,"&gt;="&amp;K$4,Payments!$Q:$Q,"&lt;"&amp;EDATE(K$4,1)))</f>
        <v/>
      </c>
      <c r="L44" s="160" t="str">
        <f>IF(SUMIFS(Payments!$H:$H,Payments!$L:$L,"="&amp;$B44,Payments!$Q:$Q,"&gt;="&amp;L$4,Payments!$Q:$Q,"&lt;"&amp;EDATE(L$4,1))=0,"",
SUMIFS(Payments!$H:$H,Payments!$L:$L,"="&amp;$B44,Payments!$Q:$Q,"&gt;="&amp;L$4,Payments!$Q:$Q,"&lt;"&amp;EDATE(L$4,1)))</f>
        <v/>
      </c>
      <c r="M44" s="160" t="str">
        <f>IF(SUMIFS(Payments!$H:$H,Payments!$L:$L,"="&amp;$B44,Payments!$Q:$Q,"&gt;="&amp;M$4,Payments!$Q:$Q,"&lt;"&amp;EDATE(M$4,1))=0,"",
SUMIFS(Payments!$H:$H,Payments!$L:$L,"="&amp;$B44,Payments!$Q:$Q,"&gt;="&amp;M$4,Payments!$Q:$Q,"&lt;"&amp;EDATE(M$4,1)))</f>
        <v/>
      </c>
      <c r="N44" s="160" t="str">
        <f>IF(SUMIFS(Payments!$H:$H,Payments!$L:$L,"="&amp;$B44,Payments!$Q:$Q,"&gt;="&amp;N$4,Payments!$Q:$Q,"&lt;"&amp;EDATE(N$4,1))=0,"",
SUMIFS(Payments!$H:$H,Payments!$L:$L,"="&amp;$B44,Payments!$Q:$Q,"&gt;="&amp;N$4,Payments!$Q:$Q,"&lt;"&amp;EDATE(N$4,1)))</f>
        <v/>
      </c>
      <c r="O44" s="160"/>
      <c r="P44" s="160"/>
      <c r="Q44" s="160"/>
      <c r="R44" s="160"/>
      <c r="S44" s="160"/>
      <c r="T44" s="161"/>
      <c r="U44" s="162"/>
    </row>
    <row r="45" spans="2:21" x14ac:dyDescent="0.3">
      <c r="B45" s="175" t="str">
        <f>SETUP!H37</f>
        <v>Additional Maintenance</v>
      </c>
      <c r="C45" s="116">
        <f>IF(SUMIFS(Payments!$H:$H,Payments!$L:$L,"="&amp;$B45,Payments!$Q:$Q,"&gt;="&amp;C$4,Payments!$Q:$Q,"&lt;"&amp;EDATE(C$4,1))=0,"",
SUMIFS(Payments!$H:$H,Payments!$L:$L,"="&amp;$B45,Payments!$Q:$Q,"&gt;="&amp;C$4,Payments!$Q:$Q,"&lt;"&amp;EDATE(C$4,1)))</f>
        <v>1077.83</v>
      </c>
      <c r="D45" s="116" t="str">
        <f>IF(SUMIFS(Payments!$H:$H,Payments!$L:$L,"="&amp;$B45,Payments!$Q:$Q,"&gt;="&amp;D$4,Payments!$Q:$Q,"&lt;"&amp;EDATE(D$4,1))=0,"",
SUMIFS(Payments!$H:$H,Payments!$L:$L,"="&amp;$B45,Payments!$Q:$Q,"&gt;="&amp;D$4,Payments!$Q:$Q,"&lt;"&amp;EDATE(D$4,1)))</f>
        <v/>
      </c>
      <c r="E45" s="116" t="str">
        <f>IF(SUMIFS(Payments!$H:$H,Payments!$L:$L,"="&amp;$B45,Payments!$Q:$Q,"&gt;="&amp;E$4,Payments!$Q:$Q,"&lt;"&amp;EDATE(E$4,1))=0,"",
SUMIFS(Payments!$H:$H,Payments!$L:$L,"="&amp;$B45,Payments!$Q:$Q,"&gt;="&amp;E$4,Payments!$Q:$Q,"&lt;"&amp;EDATE(E$4,1)))</f>
        <v/>
      </c>
      <c r="F45" s="116" t="str">
        <f>IF(SUMIFS(Payments!$H:$H,Payments!$L:$L,"="&amp;$B45,Payments!$Q:$Q,"&gt;="&amp;F$4,Payments!$Q:$Q,"&lt;"&amp;EDATE(F$4,1))=0,"",
SUMIFS(Payments!$H:$H,Payments!$L:$L,"="&amp;$B45,Payments!$Q:$Q,"&gt;="&amp;F$4,Payments!$Q:$Q,"&lt;"&amp;EDATE(F$4,1)))</f>
        <v/>
      </c>
      <c r="G45" s="116" t="str">
        <f>IF(SUMIFS(Payments!$H:$H,Payments!$L:$L,"="&amp;$B45,Payments!$Q:$Q,"&gt;="&amp;G$4,Payments!$Q:$Q,"&lt;"&amp;EDATE(G$4,1))=0,"",
SUMIFS(Payments!$H:$H,Payments!$L:$L,"="&amp;$B45,Payments!$Q:$Q,"&gt;="&amp;G$4,Payments!$Q:$Q,"&lt;"&amp;EDATE(G$4,1)))</f>
        <v/>
      </c>
      <c r="H45" s="116" t="str">
        <f>IF(SUMIFS(Payments!$H:$H,Payments!$L:$L,"="&amp;$B45,Payments!$Q:$Q,"&gt;="&amp;H$4,Payments!$Q:$Q,"&lt;"&amp;EDATE(H$4,1))=0,"",
SUMIFS(Payments!$H:$H,Payments!$L:$L,"="&amp;$B45,Payments!$Q:$Q,"&gt;="&amp;H$4,Payments!$Q:$Q,"&lt;"&amp;EDATE(H$4,1)))</f>
        <v/>
      </c>
      <c r="I45" s="116" t="str">
        <f>IF(SUMIFS(Payments!$H:$H,Payments!$L:$L,"="&amp;$B45,Payments!$Q:$Q,"&gt;="&amp;I$4,Payments!$Q:$Q,"&lt;"&amp;EDATE(I$4,1))=0,"",
SUMIFS(Payments!$H:$H,Payments!$L:$L,"="&amp;$B45,Payments!$Q:$Q,"&gt;="&amp;I$4,Payments!$Q:$Q,"&lt;"&amp;EDATE(I$4,1)))</f>
        <v/>
      </c>
      <c r="J45" s="116" t="str">
        <f>IF(SUMIFS(Payments!$H:$H,Payments!$L:$L,"="&amp;$B45,Payments!$Q:$Q,"&gt;="&amp;J$4,Payments!$Q:$Q,"&lt;"&amp;EDATE(J$4,1))=0,"",
SUMIFS(Payments!$H:$H,Payments!$L:$L,"="&amp;$B45,Payments!$Q:$Q,"&gt;="&amp;J$4,Payments!$Q:$Q,"&lt;"&amp;EDATE(J$4,1)))</f>
        <v/>
      </c>
      <c r="K45" s="116" t="str">
        <f>IF(SUMIFS(Payments!$H:$H,Payments!$L:$L,"="&amp;$B45,Payments!$Q:$Q,"&gt;="&amp;K$4,Payments!$Q:$Q,"&lt;"&amp;EDATE(K$4,1))=0,"",
SUMIFS(Payments!$H:$H,Payments!$L:$L,"="&amp;$B45,Payments!$Q:$Q,"&gt;="&amp;K$4,Payments!$Q:$Q,"&lt;"&amp;EDATE(K$4,1)))</f>
        <v/>
      </c>
      <c r="L45" s="116" t="str">
        <f>IF(SUMIFS(Payments!$H:$H,Payments!$L:$L,"="&amp;$B45,Payments!$Q:$Q,"&gt;="&amp;L$4,Payments!$Q:$Q,"&lt;"&amp;EDATE(L$4,1))=0,"",
SUMIFS(Payments!$H:$H,Payments!$L:$L,"="&amp;$B45,Payments!$Q:$Q,"&gt;="&amp;L$4,Payments!$Q:$Q,"&lt;"&amp;EDATE(L$4,1)))</f>
        <v/>
      </c>
      <c r="M45" s="116" t="str">
        <f>IF(SUMIFS(Payments!$H:$H,Payments!$L:$L,"="&amp;$B45,Payments!$Q:$Q,"&gt;="&amp;M$4,Payments!$Q:$Q,"&lt;"&amp;EDATE(M$4,1))=0,"",
SUMIFS(Payments!$H:$H,Payments!$L:$L,"="&amp;$B45,Payments!$Q:$Q,"&gt;="&amp;M$4,Payments!$Q:$Q,"&lt;"&amp;EDATE(M$4,1)))</f>
        <v/>
      </c>
      <c r="N45" s="116" t="str">
        <f>IF(SUMIFS(Payments!$H:$H,Payments!$L:$L,"="&amp;$B45,Payments!$Q:$Q,"&gt;="&amp;N$4,Payments!$Q:$Q,"&lt;"&amp;EDATE(N$4,1))=0,"",
SUMIFS(Payments!$H:$H,Payments!$L:$L,"="&amp;$B45,Payments!$Q:$Q,"&gt;="&amp;N$4,Payments!$Q:$Q,"&lt;"&amp;EDATE(N$4,1)))</f>
        <v/>
      </c>
      <c r="O45" s="116">
        <f t="shared" si="26"/>
        <v>1077.83</v>
      </c>
      <c r="P45" s="116">
        <f>SUMIFS(Payments!$H:$H,Payments!$L:L,"="&amp;$B45,Payments!$Q:$Q,"="&amp;"")</f>
        <v>0</v>
      </c>
      <c r="Q45" s="116">
        <f t="shared" si="27"/>
        <v>1077.83</v>
      </c>
      <c r="R45" s="116">
        <f>VLOOKUP(B45,SETUP!H:K,4,FALSE)</f>
        <v>3000</v>
      </c>
      <c r="S45" s="116">
        <f t="shared" si="28"/>
        <v>1922.17</v>
      </c>
      <c r="T45" s="163">
        <f>IF(Q45=0,0,Q45/Q$86)</f>
        <v>2.7231895954718196E-2</v>
      </c>
      <c r="U45" s="163">
        <f>IF(Q45=0,0,IF(AGAR!E$8=0,"No precept",Q45/AGAR!E$8))</f>
        <v>6.921901190009825E-3</v>
      </c>
    </row>
    <row r="46" spans="2:21" x14ac:dyDescent="0.3">
      <c r="B46" s="175" t="str">
        <f>SETUP!H38</f>
        <v>Spare Code</v>
      </c>
      <c r="C46" s="116" t="str">
        <f>IF(SUMIFS(Payments!$H:$H,Payments!$L:$L,"="&amp;$B46,Payments!$Q:$Q,"&gt;="&amp;C$4,Payments!$Q:$Q,"&lt;"&amp;EDATE(C$4,1))=0,"",
SUMIFS(Payments!$H:$H,Payments!$L:$L,"="&amp;$B46,Payments!$Q:$Q,"&gt;="&amp;C$4,Payments!$Q:$Q,"&lt;"&amp;EDATE(C$4,1)))</f>
        <v/>
      </c>
      <c r="D46" s="116" t="str">
        <f>IF(SUMIFS(Payments!$H:$H,Payments!$L:$L,"="&amp;$B46,Payments!$Q:$Q,"&gt;="&amp;D$4,Payments!$Q:$Q,"&lt;"&amp;EDATE(D$4,1))=0,"",
SUMIFS(Payments!$H:$H,Payments!$L:$L,"="&amp;$B46,Payments!$Q:$Q,"&gt;="&amp;D$4,Payments!$Q:$Q,"&lt;"&amp;EDATE(D$4,1)))</f>
        <v/>
      </c>
      <c r="E46" s="116" t="str">
        <f>IF(SUMIFS(Payments!$H:$H,Payments!$L:$L,"="&amp;$B46,Payments!$Q:$Q,"&gt;="&amp;E$4,Payments!$Q:$Q,"&lt;"&amp;EDATE(E$4,1))=0,"",
SUMIFS(Payments!$H:$H,Payments!$L:$L,"="&amp;$B46,Payments!$Q:$Q,"&gt;="&amp;E$4,Payments!$Q:$Q,"&lt;"&amp;EDATE(E$4,1)))</f>
        <v/>
      </c>
      <c r="F46" s="116" t="str">
        <f>IF(SUMIFS(Payments!$H:$H,Payments!$L:$L,"="&amp;$B46,Payments!$Q:$Q,"&gt;="&amp;F$4,Payments!$Q:$Q,"&lt;"&amp;EDATE(F$4,1))=0,"",
SUMIFS(Payments!$H:$H,Payments!$L:$L,"="&amp;$B46,Payments!$Q:$Q,"&gt;="&amp;F$4,Payments!$Q:$Q,"&lt;"&amp;EDATE(F$4,1)))</f>
        <v/>
      </c>
      <c r="G46" s="116" t="str">
        <f>IF(SUMIFS(Payments!$H:$H,Payments!$L:$L,"="&amp;$B46,Payments!$Q:$Q,"&gt;="&amp;G$4,Payments!$Q:$Q,"&lt;"&amp;EDATE(G$4,1))=0,"",
SUMIFS(Payments!$H:$H,Payments!$L:$L,"="&amp;$B46,Payments!$Q:$Q,"&gt;="&amp;G$4,Payments!$Q:$Q,"&lt;"&amp;EDATE(G$4,1)))</f>
        <v/>
      </c>
      <c r="H46" s="116" t="str">
        <f>IF(SUMIFS(Payments!$H:$H,Payments!$L:$L,"="&amp;$B46,Payments!$Q:$Q,"&gt;="&amp;H$4,Payments!$Q:$Q,"&lt;"&amp;EDATE(H$4,1))=0,"",
SUMIFS(Payments!$H:$H,Payments!$L:$L,"="&amp;$B46,Payments!$Q:$Q,"&gt;="&amp;H$4,Payments!$Q:$Q,"&lt;"&amp;EDATE(H$4,1)))</f>
        <v/>
      </c>
      <c r="I46" s="116" t="str">
        <f>IF(SUMIFS(Payments!$H:$H,Payments!$L:$L,"="&amp;$B46,Payments!$Q:$Q,"&gt;="&amp;I$4,Payments!$Q:$Q,"&lt;"&amp;EDATE(I$4,1))=0,"",
SUMIFS(Payments!$H:$H,Payments!$L:$L,"="&amp;$B46,Payments!$Q:$Q,"&gt;="&amp;I$4,Payments!$Q:$Q,"&lt;"&amp;EDATE(I$4,1)))</f>
        <v/>
      </c>
      <c r="J46" s="116" t="str">
        <f>IF(SUMIFS(Payments!$H:$H,Payments!$L:$L,"="&amp;$B46,Payments!$Q:$Q,"&gt;="&amp;J$4,Payments!$Q:$Q,"&lt;"&amp;EDATE(J$4,1))=0,"",
SUMIFS(Payments!$H:$H,Payments!$L:$L,"="&amp;$B46,Payments!$Q:$Q,"&gt;="&amp;J$4,Payments!$Q:$Q,"&lt;"&amp;EDATE(J$4,1)))</f>
        <v/>
      </c>
      <c r="K46" s="116" t="str">
        <f>IF(SUMIFS(Payments!$H:$H,Payments!$L:$L,"="&amp;$B46,Payments!$Q:$Q,"&gt;="&amp;K$4,Payments!$Q:$Q,"&lt;"&amp;EDATE(K$4,1))=0,"",
SUMIFS(Payments!$H:$H,Payments!$L:$L,"="&amp;$B46,Payments!$Q:$Q,"&gt;="&amp;K$4,Payments!$Q:$Q,"&lt;"&amp;EDATE(K$4,1)))</f>
        <v/>
      </c>
      <c r="L46" s="116" t="str">
        <f>IF(SUMIFS(Payments!$H:$H,Payments!$L:$L,"="&amp;$B46,Payments!$Q:$Q,"&gt;="&amp;L$4,Payments!$Q:$Q,"&lt;"&amp;EDATE(L$4,1))=0,"",
SUMIFS(Payments!$H:$H,Payments!$L:$L,"="&amp;$B46,Payments!$Q:$Q,"&gt;="&amp;L$4,Payments!$Q:$Q,"&lt;"&amp;EDATE(L$4,1)))</f>
        <v/>
      </c>
      <c r="M46" s="116" t="str">
        <f>IF(SUMIFS(Payments!$H:$H,Payments!$L:$L,"="&amp;$B46,Payments!$Q:$Q,"&gt;="&amp;M$4,Payments!$Q:$Q,"&lt;"&amp;EDATE(M$4,1))=0,"",
SUMIFS(Payments!$H:$H,Payments!$L:$L,"="&amp;$B46,Payments!$Q:$Q,"&gt;="&amp;M$4,Payments!$Q:$Q,"&lt;"&amp;EDATE(M$4,1)))</f>
        <v/>
      </c>
      <c r="N46" s="116" t="str">
        <f>IF(SUMIFS(Payments!$H:$H,Payments!$L:$L,"="&amp;$B46,Payments!$Q:$Q,"&gt;="&amp;N$4,Payments!$Q:$Q,"&lt;"&amp;EDATE(N$4,1))=0,"",
SUMIFS(Payments!$H:$H,Payments!$L:$L,"="&amp;$B46,Payments!$Q:$Q,"&gt;="&amp;N$4,Payments!$Q:$Q,"&lt;"&amp;EDATE(N$4,1)))</f>
        <v/>
      </c>
      <c r="O46" s="116">
        <f t="shared" ref="O46:O47" si="33">SUM(C46:N46)</f>
        <v>0</v>
      </c>
      <c r="P46" s="116">
        <f>SUMIFS(Payments!$H:$H,Payments!$L:L,"="&amp;$B46,Payments!$Q:$Q,"="&amp;"")</f>
        <v>0</v>
      </c>
      <c r="Q46" s="116">
        <f t="shared" ref="Q46:Q47" si="34">SUM(O46:P46)</f>
        <v>0</v>
      </c>
      <c r="R46" s="116">
        <f>VLOOKUP(B46,SETUP!H:K,4,FALSE)</f>
        <v>0</v>
      </c>
      <c r="S46" s="116">
        <f t="shared" ref="S46:S47" si="35">R46-Q46</f>
        <v>0</v>
      </c>
      <c r="T46" s="163">
        <f>IF(Q46=0,0,Q46/Q$86)</f>
        <v>0</v>
      </c>
      <c r="U46" s="163">
        <f>IF(Q46=0,0,IF(AGAR!E$8=0,"No precept",Q46/AGAR!E$8))</f>
        <v>0</v>
      </c>
    </row>
    <row r="47" spans="2:21" x14ac:dyDescent="0.3">
      <c r="B47" s="175" t="str">
        <f>SETUP!H39</f>
        <v>Spare Code</v>
      </c>
      <c r="C47" s="116" t="str">
        <f>IF(SUMIFS(Payments!$H:$H,Payments!$L:$L,"="&amp;$B47,Payments!$Q:$Q,"&gt;="&amp;C$4,Payments!$Q:$Q,"&lt;"&amp;EDATE(C$4,1))=0,"",
SUMIFS(Payments!$H:$H,Payments!$L:$L,"="&amp;$B47,Payments!$Q:$Q,"&gt;="&amp;C$4,Payments!$Q:$Q,"&lt;"&amp;EDATE(C$4,1)))</f>
        <v/>
      </c>
      <c r="D47" s="116" t="str">
        <f>IF(SUMIFS(Payments!$H:$H,Payments!$L:$L,"="&amp;$B47,Payments!$Q:$Q,"&gt;="&amp;D$4,Payments!$Q:$Q,"&lt;"&amp;EDATE(D$4,1))=0,"",
SUMIFS(Payments!$H:$H,Payments!$L:$L,"="&amp;$B47,Payments!$Q:$Q,"&gt;="&amp;D$4,Payments!$Q:$Q,"&lt;"&amp;EDATE(D$4,1)))</f>
        <v/>
      </c>
      <c r="E47" s="116" t="str">
        <f>IF(SUMIFS(Payments!$H:$H,Payments!$L:$L,"="&amp;$B47,Payments!$Q:$Q,"&gt;="&amp;E$4,Payments!$Q:$Q,"&lt;"&amp;EDATE(E$4,1))=0,"",
SUMIFS(Payments!$H:$H,Payments!$L:$L,"="&amp;$B47,Payments!$Q:$Q,"&gt;="&amp;E$4,Payments!$Q:$Q,"&lt;"&amp;EDATE(E$4,1)))</f>
        <v/>
      </c>
      <c r="F47" s="116" t="str">
        <f>IF(SUMIFS(Payments!$H:$H,Payments!$L:$L,"="&amp;$B47,Payments!$Q:$Q,"&gt;="&amp;F$4,Payments!$Q:$Q,"&lt;"&amp;EDATE(F$4,1))=0,"",
SUMIFS(Payments!$H:$H,Payments!$L:$L,"="&amp;$B47,Payments!$Q:$Q,"&gt;="&amp;F$4,Payments!$Q:$Q,"&lt;"&amp;EDATE(F$4,1)))</f>
        <v/>
      </c>
      <c r="G47" s="116" t="str">
        <f>IF(SUMIFS(Payments!$H:$H,Payments!$L:$L,"="&amp;$B47,Payments!$Q:$Q,"&gt;="&amp;G$4,Payments!$Q:$Q,"&lt;"&amp;EDATE(G$4,1))=0,"",
SUMIFS(Payments!$H:$H,Payments!$L:$L,"="&amp;$B47,Payments!$Q:$Q,"&gt;="&amp;G$4,Payments!$Q:$Q,"&lt;"&amp;EDATE(G$4,1)))</f>
        <v/>
      </c>
      <c r="H47" s="116" t="str">
        <f>IF(SUMIFS(Payments!$H:$H,Payments!$L:$L,"="&amp;$B47,Payments!$Q:$Q,"&gt;="&amp;H$4,Payments!$Q:$Q,"&lt;"&amp;EDATE(H$4,1))=0,"",
SUMIFS(Payments!$H:$H,Payments!$L:$L,"="&amp;$B47,Payments!$Q:$Q,"&gt;="&amp;H$4,Payments!$Q:$Q,"&lt;"&amp;EDATE(H$4,1)))</f>
        <v/>
      </c>
      <c r="I47" s="116" t="str">
        <f>IF(SUMIFS(Payments!$H:$H,Payments!$L:$L,"="&amp;$B47,Payments!$Q:$Q,"&gt;="&amp;I$4,Payments!$Q:$Q,"&lt;"&amp;EDATE(I$4,1))=0,"",
SUMIFS(Payments!$H:$H,Payments!$L:$L,"="&amp;$B47,Payments!$Q:$Q,"&gt;="&amp;I$4,Payments!$Q:$Q,"&lt;"&amp;EDATE(I$4,1)))</f>
        <v/>
      </c>
      <c r="J47" s="116" t="str">
        <f>IF(SUMIFS(Payments!$H:$H,Payments!$L:$L,"="&amp;$B47,Payments!$Q:$Q,"&gt;="&amp;J$4,Payments!$Q:$Q,"&lt;"&amp;EDATE(J$4,1))=0,"",
SUMIFS(Payments!$H:$H,Payments!$L:$L,"="&amp;$B47,Payments!$Q:$Q,"&gt;="&amp;J$4,Payments!$Q:$Q,"&lt;"&amp;EDATE(J$4,1)))</f>
        <v/>
      </c>
      <c r="K47" s="116" t="str">
        <f>IF(SUMIFS(Payments!$H:$H,Payments!$L:$L,"="&amp;$B47,Payments!$Q:$Q,"&gt;="&amp;K$4,Payments!$Q:$Q,"&lt;"&amp;EDATE(K$4,1))=0,"",
SUMIFS(Payments!$H:$H,Payments!$L:$L,"="&amp;$B47,Payments!$Q:$Q,"&gt;="&amp;K$4,Payments!$Q:$Q,"&lt;"&amp;EDATE(K$4,1)))</f>
        <v/>
      </c>
      <c r="L47" s="116" t="str">
        <f>IF(SUMIFS(Payments!$H:$H,Payments!$L:$L,"="&amp;$B47,Payments!$Q:$Q,"&gt;="&amp;L$4,Payments!$Q:$Q,"&lt;"&amp;EDATE(L$4,1))=0,"",
SUMIFS(Payments!$H:$H,Payments!$L:$L,"="&amp;$B47,Payments!$Q:$Q,"&gt;="&amp;L$4,Payments!$Q:$Q,"&lt;"&amp;EDATE(L$4,1)))</f>
        <v/>
      </c>
      <c r="M47" s="116" t="str">
        <f>IF(SUMIFS(Payments!$H:$H,Payments!$L:$L,"="&amp;$B47,Payments!$Q:$Q,"&gt;="&amp;M$4,Payments!$Q:$Q,"&lt;"&amp;EDATE(M$4,1))=0,"",
SUMIFS(Payments!$H:$H,Payments!$L:$L,"="&amp;$B47,Payments!$Q:$Q,"&gt;="&amp;M$4,Payments!$Q:$Q,"&lt;"&amp;EDATE(M$4,1)))</f>
        <v/>
      </c>
      <c r="N47" s="116" t="str">
        <f>IF(SUMIFS(Payments!$H:$H,Payments!$L:$L,"="&amp;$B47,Payments!$Q:$Q,"&gt;="&amp;N$4,Payments!$Q:$Q,"&lt;"&amp;EDATE(N$4,1))=0,"",
SUMIFS(Payments!$H:$H,Payments!$L:$L,"="&amp;$B47,Payments!$Q:$Q,"&gt;="&amp;N$4,Payments!$Q:$Q,"&lt;"&amp;EDATE(N$4,1)))</f>
        <v/>
      </c>
      <c r="O47" s="116">
        <f t="shared" si="33"/>
        <v>0</v>
      </c>
      <c r="P47" s="116">
        <f>SUMIFS(Payments!$H:$H,Payments!$L:L,"="&amp;$B47,Payments!$Q:$Q,"="&amp;"")</f>
        <v>0</v>
      </c>
      <c r="Q47" s="116">
        <f t="shared" si="34"/>
        <v>0</v>
      </c>
      <c r="R47" s="116">
        <f>VLOOKUP(B47,SETUP!H:K,4,FALSE)</f>
        <v>0</v>
      </c>
      <c r="S47" s="116">
        <f t="shared" si="35"/>
        <v>0</v>
      </c>
      <c r="T47" s="163">
        <f>IF(Q47=0,0,Q47/Q$86)</f>
        <v>0</v>
      </c>
      <c r="U47" s="163">
        <f>IF(Q47=0,0,IF(AGAR!E$8=0,"No precept",Q47/AGAR!E$8))</f>
        <v>0</v>
      </c>
    </row>
    <row r="48" spans="2:21" s="150" customFormat="1" x14ac:dyDescent="0.3">
      <c r="B48" s="27" t="str">
        <f>"Total "&amp;B44</f>
        <v>Total Cemetery</v>
      </c>
      <c r="C48" s="165">
        <f>SUM(C45:C47)</f>
        <v>1077.83</v>
      </c>
      <c r="D48" s="165">
        <f t="shared" ref="D48:U48" si="36">SUM(D45:D47)</f>
        <v>0</v>
      </c>
      <c r="E48" s="165">
        <f t="shared" si="36"/>
        <v>0</v>
      </c>
      <c r="F48" s="165">
        <f t="shared" si="36"/>
        <v>0</v>
      </c>
      <c r="G48" s="165">
        <f t="shared" si="36"/>
        <v>0</v>
      </c>
      <c r="H48" s="165">
        <f t="shared" si="36"/>
        <v>0</v>
      </c>
      <c r="I48" s="165">
        <f t="shared" si="36"/>
        <v>0</v>
      </c>
      <c r="J48" s="165">
        <f t="shared" si="36"/>
        <v>0</v>
      </c>
      <c r="K48" s="165">
        <f t="shared" si="36"/>
        <v>0</v>
      </c>
      <c r="L48" s="165">
        <f t="shared" si="36"/>
        <v>0</v>
      </c>
      <c r="M48" s="165">
        <f t="shared" si="36"/>
        <v>0</v>
      </c>
      <c r="N48" s="165">
        <f t="shared" si="36"/>
        <v>0</v>
      </c>
      <c r="O48" s="165">
        <f t="shared" si="36"/>
        <v>1077.83</v>
      </c>
      <c r="P48" s="165">
        <f t="shared" si="36"/>
        <v>0</v>
      </c>
      <c r="Q48" s="165">
        <f t="shared" si="36"/>
        <v>1077.83</v>
      </c>
      <c r="R48" s="165">
        <f t="shared" si="36"/>
        <v>3000</v>
      </c>
      <c r="S48" s="165">
        <f t="shared" si="36"/>
        <v>1922.17</v>
      </c>
      <c r="T48" s="166">
        <f t="shared" si="36"/>
        <v>2.7231895954718196E-2</v>
      </c>
      <c r="U48" s="166">
        <f t="shared" si="36"/>
        <v>6.921901190009825E-3</v>
      </c>
    </row>
    <row r="49" spans="2:21" s="150" customFormat="1" x14ac:dyDescent="0.3">
      <c r="B49" s="29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67"/>
      <c r="U49" s="167"/>
    </row>
    <row r="50" spans="2:21" s="150" customFormat="1" x14ac:dyDescent="0.3">
      <c r="B50" s="174" t="str">
        <f>SETUP!H40</f>
        <v>War Memorial</v>
      </c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6"/>
      <c r="U50" s="166"/>
    </row>
    <row r="51" spans="2:21" s="150" customFormat="1" x14ac:dyDescent="0.3">
      <c r="B51" s="175" t="str">
        <f>SETUP!H41</f>
        <v>Renovation of Jubilee Corner</v>
      </c>
      <c r="C51" s="116" t="str">
        <f>IF(SUMIFS(Payments!$H:$H,Payments!$L:$L,"="&amp;$B51,Payments!$Q:$Q,"&gt;="&amp;C$4,Payments!$Q:$Q,"&lt;"&amp;EDATE(C$4,1))=0,"",
SUMIFS(Payments!$H:$H,Payments!$L:$L,"="&amp;$B51,Payments!$Q:$Q,"&gt;="&amp;C$4,Payments!$Q:$Q,"&lt;"&amp;EDATE(C$4,1)))</f>
        <v/>
      </c>
      <c r="D51" s="116" t="str">
        <f>IF(SUMIFS(Payments!$H:$H,Payments!$L:$L,"="&amp;$B51,Payments!$Q:$Q,"&gt;="&amp;D$4,Payments!$Q:$Q,"&lt;"&amp;EDATE(D$4,1))=0,"",
SUMIFS(Payments!$H:$H,Payments!$L:$L,"="&amp;$B51,Payments!$Q:$Q,"&gt;="&amp;D$4,Payments!$Q:$Q,"&lt;"&amp;EDATE(D$4,1)))</f>
        <v/>
      </c>
      <c r="E51" s="116" t="str">
        <f>IF(SUMIFS(Payments!$H:$H,Payments!$L:$L,"="&amp;$B51,Payments!$Q:$Q,"&gt;="&amp;E$4,Payments!$Q:$Q,"&lt;"&amp;EDATE(E$4,1))=0,"",
SUMIFS(Payments!$H:$H,Payments!$L:$L,"="&amp;$B51,Payments!$Q:$Q,"&gt;="&amp;E$4,Payments!$Q:$Q,"&lt;"&amp;EDATE(E$4,1)))</f>
        <v/>
      </c>
      <c r="F51" s="116" t="str">
        <f>IF(SUMIFS(Payments!$H:$H,Payments!$L:$L,"="&amp;$B51,Payments!$Q:$Q,"&gt;="&amp;F$4,Payments!$Q:$Q,"&lt;"&amp;EDATE(F$4,1))=0,"",
SUMIFS(Payments!$H:$H,Payments!$L:$L,"="&amp;$B51,Payments!$Q:$Q,"&gt;="&amp;F$4,Payments!$Q:$Q,"&lt;"&amp;EDATE(F$4,1)))</f>
        <v/>
      </c>
      <c r="G51" s="116" t="str">
        <f>IF(SUMIFS(Payments!$H:$H,Payments!$L:$L,"="&amp;$B51,Payments!$Q:$Q,"&gt;="&amp;G$4,Payments!$Q:$Q,"&lt;"&amp;EDATE(G$4,1))=0,"",
SUMIFS(Payments!$H:$H,Payments!$L:$L,"="&amp;$B51,Payments!$Q:$Q,"&gt;="&amp;G$4,Payments!$Q:$Q,"&lt;"&amp;EDATE(G$4,1)))</f>
        <v/>
      </c>
      <c r="H51" s="116" t="str">
        <f>IF(SUMIFS(Payments!$H:$H,Payments!$L:$L,"="&amp;$B51,Payments!$Q:$Q,"&gt;="&amp;H$4,Payments!$Q:$Q,"&lt;"&amp;EDATE(H$4,1))=0,"",
SUMIFS(Payments!$H:$H,Payments!$L:$L,"="&amp;$B51,Payments!$Q:$Q,"&gt;="&amp;H$4,Payments!$Q:$Q,"&lt;"&amp;EDATE(H$4,1)))</f>
        <v/>
      </c>
      <c r="I51" s="116" t="str">
        <f>IF(SUMIFS(Payments!$H:$H,Payments!$L:$L,"="&amp;$B51,Payments!$Q:$Q,"&gt;="&amp;I$4,Payments!$Q:$Q,"&lt;"&amp;EDATE(I$4,1))=0,"",
SUMIFS(Payments!$H:$H,Payments!$L:$L,"="&amp;$B51,Payments!$Q:$Q,"&gt;="&amp;I$4,Payments!$Q:$Q,"&lt;"&amp;EDATE(I$4,1)))</f>
        <v/>
      </c>
      <c r="J51" s="116" t="str">
        <f>IF(SUMIFS(Payments!$H:$H,Payments!$L:$L,"="&amp;$B51,Payments!$Q:$Q,"&gt;="&amp;J$4,Payments!$Q:$Q,"&lt;"&amp;EDATE(J$4,1))=0,"",
SUMIFS(Payments!$H:$H,Payments!$L:$L,"="&amp;$B51,Payments!$Q:$Q,"&gt;="&amp;J$4,Payments!$Q:$Q,"&lt;"&amp;EDATE(J$4,1)))</f>
        <v/>
      </c>
      <c r="K51" s="116" t="str">
        <f>IF(SUMIFS(Payments!$H:$H,Payments!$L:$L,"="&amp;$B51,Payments!$Q:$Q,"&gt;="&amp;K$4,Payments!$Q:$Q,"&lt;"&amp;EDATE(K$4,1))=0,"",
SUMIFS(Payments!$H:$H,Payments!$L:$L,"="&amp;$B51,Payments!$Q:$Q,"&gt;="&amp;K$4,Payments!$Q:$Q,"&lt;"&amp;EDATE(K$4,1)))</f>
        <v/>
      </c>
      <c r="L51" s="116" t="str">
        <f>IF(SUMIFS(Payments!$H:$H,Payments!$L:$L,"="&amp;$B51,Payments!$Q:$Q,"&gt;="&amp;L$4,Payments!$Q:$Q,"&lt;"&amp;EDATE(L$4,1))=0,"",
SUMIFS(Payments!$H:$H,Payments!$L:$L,"="&amp;$B51,Payments!$Q:$Q,"&gt;="&amp;L$4,Payments!$Q:$Q,"&lt;"&amp;EDATE(L$4,1)))</f>
        <v/>
      </c>
      <c r="M51" s="116" t="str">
        <f>IF(SUMIFS(Payments!$H:$H,Payments!$L:$L,"="&amp;$B51,Payments!$Q:$Q,"&gt;="&amp;M$4,Payments!$Q:$Q,"&lt;"&amp;EDATE(M$4,1))=0,"",
SUMIFS(Payments!$H:$H,Payments!$L:$L,"="&amp;$B51,Payments!$Q:$Q,"&gt;="&amp;M$4,Payments!$Q:$Q,"&lt;"&amp;EDATE(M$4,1)))</f>
        <v/>
      </c>
      <c r="N51" s="116" t="str">
        <f>IF(SUMIFS(Payments!$H:$H,Payments!$L:$L,"="&amp;$B51,Payments!$Q:$Q,"&gt;="&amp;N$4,Payments!$Q:$Q,"&lt;"&amp;EDATE(N$4,1))=0,"",
SUMIFS(Payments!$H:$H,Payments!$L:$L,"="&amp;$B51,Payments!$Q:$Q,"&gt;="&amp;N$4,Payments!$Q:$Q,"&lt;"&amp;EDATE(N$4,1)))</f>
        <v/>
      </c>
      <c r="O51" s="116">
        <f t="shared" ref="O51" si="37">SUM(C51:N51)</f>
        <v>0</v>
      </c>
      <c r="P51" s="116">
        <f>SUMIFS(Payments!$H:$H,Payments!$L:L,"="&amp;$B51,Payments!$Q:$Q,"="&amp;"")</f>
        <v>0</v>
      </c>
      <c r="Q51" s="116">
        <f t="shared" ref="Q51" si="38">SUM(O51:P51)</f>
        <v>0</v>
      </c>
      <c r="R51" s="116">
        <f>VLOOKUP(B51,SETUP!H:K,4,FALSE)</f>
        <v>0</v>
      </c>
      <c r="S51" s="116">
        <f t="shared" ref="S51" si="39">R51-Q51</f>
        <v>0</v>
      </c>
      <c r="T51" s="163">
        <f>IF(Q51=0,0,Q51/Q$86)</f>
        <v>0</v>
      </c>
      <c r="U51" s="163">
        <f>IF(Q51=0,0,IF(AGAR!E$8=0,"No precept",Q51/AGAR!E$8))</f>
        <v>0</v>
      </c>
    </row>
    <row r="52" spans="2:21" s="150" customFormat="1" x14ac:dyDescent="0.3">
      <c r="B52" s="175" t="str">
        <f>SETUP!H42</f>
        <v>Spare Code</v>
      </c>
      <c r="C52" s="116" t="str">
        <f>IF(SUMIFS(Payments!$H:$H,Payments!$L:$L,"="&amp;$B52,Payments!$Q:$Q,"&gt;="&amp;C$4,Payments!$Q:$Q,"&lt;"&amp;EDATE(C$4,1))=0,"",
SUMIFS(Payments!$H:$H,Payments!$L:$L,"="&amp;$B52,Payments!$Q:$Q,"&gt;="&amp;C$4,Payments!$Q:$Q,"&lt;"&amp;EDATE(C$4,1)))</f>
        <v/>
      </c>
      <c r="D52" s="116" t="str">
        <f>IF(SUMIFS(Payments!$H:$H,Payments!$L:$L,"="&amp;$B52,Payments!$Q:$Q,"&gt;="&amp;D$4,Payments!$Q:$Q,"&lt;"&amp;EDATE(D$4,1))=0,"",
SUMIFS(Payments!$H:$H,Payments!$L:$L,"="&amp;$B52,Payments!$Q:$Q,"&gt;="&amp;D$4,Payments!$Q:$Q,"&lt;"&amp;EDATE(D$4,1)))</f>
        <v/>
      </c>
      <c r="E52" s="116" t="str">
        <f>IF(SUMIFS(Payments!$H:$H,Payments!$L:$L,"="&amp;$B52,Payments!$Q:$Q,"&gt;="&amp;E$4,Payments!$Q:$Q,"&lt;"&amp;EDATE(E$4,1))=0,"",
SUMIFS(Payments!$H:$H,Payments!$L:$L,"="&amp;$B52,Payments!$Q:$Q,"&gt;="&amp;E$4,Payments!$Q:$Q,"&lt;"&amp;EDATE(E$4,1)))</f>
        <v/>
      </c>
      <c r="F52" s="116" t="str">
        <f>IF(SUMIFS(Payments!$H:$H,Payments!$L:$L,"="&amp;$B52,Payments!$Q:$Q,"&gt;="&amp;F$4,Payments!$Q:$Q,"&lt;"&amp;EDATE(F$4,1))=0,"",
SUMIFS(Payments!$H:$H,Payments!$L:$L,"="&amp;$B52,Payments!$Q:$Q,"&gt;="&amp;F$4,Payments!$Q:$Q,"&lt;"&amp;EDATE(F$4,1)))</f>
        <v/>
      </c>
      <c r="G52" s="116" t="str">
        <f>IF(SUMIFS(Payments!$H:$H,Payments!$L:$L,"="&amp;$B52,Payments!$Q:$Q,"&gt;="&amp;G$4,Payments!$Q:$Q,"&lt;"&amp;EDATE(G$4,1))=0,"",
SUMIFS(Payments!$H:$H,Payments!$L:$L,"="&amp;$B52,Payments!$Q:$Q,"&gt;="&amp;G$4,Payments!$Q:$Q,"&lt;"&amp;EDATE(G$4,1)))</f>
        <v/>
      </c>
      <c r="H52" s="116" t="str">
        <f>IF(SUMIFS(Payments!$H:$H,Payments!$L:$L,"="&amp;$B52,Payments!$Q:$Q,"&gt;="&amp;H$4,Payments!$Q:$Q,"&lt;"&amp;EDATE(H$4,1))=0,"",
SUMIFS(Payments!$H:$H,Payments!$L:$L,"="&amp;$B52,Payments!$Q:$Q,"&gt;="&amp;H$4,Payments!$Q:$Q,"&lt;"&amp;EDATE(H$4,1)))</f>
        <v/>
      </c>
      <c r="I52" s="116" t="str">
        <f>IF(SUMIFS(Payments!$H:$H,Payments!$L:$L,"="&amp;$B52,Payments!$Q:$Q,"&gt;="&amp;I$4,Payments!$Q:$Q,"&lt;"&amp;EDATE(I$4,1))=0,"",
SUMIFS(Payments!$H:$H,Payments!$L:$L,"="&amp;$B52,Payments!$Q:$Q,"&gt;="&amp;I$4,Payments!$Q:$Q,"&lt;"&amp;EDATE(I$4,1)))</f>
        <v/>
      </c>
      <c r="J52" s="116" t="str">
        <f>IF(SUMIFS(Payments!$H:$H,Payments!$L:$L,"="&amp;$B52,Payments!$Q:$Q,"&gt;="&amp;J$4,Payments!$Q:$Q,"&lt;"&amp;EDATE(J$4,1))=0,"",
SUMIFS(Payments!$H:$H,Payments!$L:$L,"="&amp;$B52,Payments!$Q:$Q,"&gt;="&amp;J$4,Payments!$Q:$Q,"&lt;"&amp;EDATE(J$4,1)))</f>
        <v/>
      </c>
      <c r="K52" s="116" t="str">
        <f>IF(SUMIFS(Payments!$H:$H,Payments!$L:$L,"="&amp;$B52,Payments!$Q:$Q,"&gt;="&amp;K$4,Payments!$Q:$Q,"&lt;"&amp;EDATE(K$4,1))=0,"",
SUMIFS(Payments!$H:$H,Payments!$L:$L,"="&amp;$B52,Payments!$Q:$Q,"&gt;="&amp;K$4,Payments!$Q:$Q,"&lt;"&amp;EDATE(K$4,1)))</f>
        <v/>
      </c>
      <c r="L52" s="116" t="str">
        <f>IF(SUMIFS(Payments!$H:$H,Payments!$L:$L,"="&amp;$B52,Payments!$Q:$Q,"&gt;="&amp;L$4,Payments!$Q:$Q,"&lt;"&amp;EDATE(L$4,1))=0,"",
SUMIFS(Payments!$H:$H,Payments!$L:$L,"="&amp;$B52,Payments!$Q:$Q,"&gt;="&amp;L$4,Payments!$Q:$Q,"&lt;"&amp;EDATE(L$4,1)))</f>
        <v/>
      </c>
      <c r="M52" s="116" t="str">
        <f>IF(SUMIFS(Payments!$H:$H,Payments!$L:$L,"="&amp;$B52,Payments!$Q:$Q,"&gt;="&amp;M$4,Payments!$Q:$Q,"&lt;"&amp;EDATE(M$4,1))=0,"",
SUMIFS(Payments!$H:$H,Payments!$L:$L,"="&amp;$B52,Payments!$Q:$Q,"&gt;="&amp;M$4,Payments!$Q:$Q,"&lt;"&amp;EDATE(M$4,1)))</f>
        <v/>
      </c>
      <c r="N52" s="116" t="str">
        <f>IF(SUMIFS(Payments!$H:$H,Payments!$L:$L,"="&amp;$B52,Payments!$Q:$Q,"&gt;="&amp;N$4,Payments!$Q:$Q,"&lt;"&amp;EDATE(N$4,1))=0,"",
SUMIFS(Payments!$H:$H,Payments!$L:$L,"="&amp;$B52,Payments!$Q:$Q,"&gt;="&amp;N$4,Payments!$Q:$Q,"&lt;"&amp;EDATE(N$4,1)))</f>
        <v/>
      </c>
      <c r="O52" s="116">
        <f t="shared" ref="O52" si="40">SUM(C52:N52)</f>
        <v>0</v>
      </c>
      <c r="P52" s="116">
        <f>SUMIFS(Payments!$H:$H,Payments!$L:L,"="&amp;$B52,Payments!$Q:$Q,"="&amp;"")</f>
        <v>0</v>
      </c>
      <c r="Q52" s="116">
        <f t="shared" ref="Q52" si="41">SUM(O52:P52)</f>
        <v>0</v>
      </c>
      <c r="R52" s="116">
        <f>VLOOKUP(B52,SETUP!H:K,4,FALSE)</f>
        <v>0</v>
      </c>
      <c r="S52" s="116">
        <f t="shared" ref="S52" si="42">R52-Q52</f>
        <v>0</v>
      </c>
      <c r="T52" s="163">
        <f>IF(Q52=0,0,Q52/Q$86)</f>
        <v>0</v>
      </c>
      <c r="U52" s="163">
        <f>IF(Q52=0,0,IF(AGAR!E$8=0,"No precept",Q52/AGAR!E$8))</f>
        <v>0</v>
      </c>
    </row>
    <row r="53" spans="2:21" s="150" customFormat="1" x14ac:dyDescent="0.3">
      <c r="B53" s="27" t="str">
        <f>"Total "&amp;B50</f>
        <v>Total War Memorial</v>
      </c>
      <c r="C53" s="165">
        <f>SUM(C51:C52)</f>
        <v>0</v>
      </c>
      <c r="D53" s="165">
        <f t="shared" ref="D53:U53" si="43">SUM(D51:D52)</f>
        <v>0</v>
      </c>
      <c r="E53" s="165">
        <f t="shared" si="43"/>
        <v>0</v>
      </c>
      <c r="F53" s="165">
        <f t="shared" si="43"/>
        <v>0</v>
      </c>
      <c r="G53" s="165">
        <f t="shared" si="43"/>
        <v>0</v>
      </c>
      <c r="H53" s="165">
        <f t="shared" si="43"/>
        <v>0</v>
      </c>
      <c r="I53" s="165">
        <f t="shared" si="43"/>
        <v>0</v>
      </c>
      <c r="J53" s="165">
        <f t="shared" si="43"/>
        <v>0</v>
      </c>
      <c r="K53" s="165">
        <f t="shared" si="43"/>
        <v>0</v>
      </c>
      <c r="L53" s="165">
        <f t="shared" si="43"/>
        <v>0</v>
      </c>
      <c r="M53" s="165">
        <f t="shared" si="43"/>
        <v>0</v>
      </c>
      <c r="N53" s="165">
        <f t="shared" si="43"/>
        <v>0</v>
      </c>
      <c r="O53" s="165">
        <f t="shared" si="43"/>
        <v>0</v>
      </c>
      <c r="P53" s="165">
        <f t="shared" si="43"/>
        <v>0</v>
      </c>
      <c r="Q53" s="165">
        <f t="shared" si="43"/>
        <v>0</v>
      </c>
      <c r="R53" s="165">
        <f t="shared" si="43"/>
        <v>0</v>
      </c>
      <c r="S53" s="165">
        <f t="shared" si="43"/>
        <v>0</v>
      </c>
      <c r="T53" s="166">
        <f t="shared" si="43"/>
        <v>0</v>
      </c>
      <c r="U53" s="166">
        <f t="shared" si="43"/>
        <v>0</v>
      </c>
    </row>
    <row r="54" spans="2:21" s="150" customFormat="1" x14ac:dyDescent="0.3">
      <c r="B54" s="29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67"/>
      <c r="U54" s="167"/>
    </row>
    <row r="55" spans="2:21" s="150" customFormat="1" x14ac:dyDescent="0.3">
      <c r="B55" s="174" t="str">
        <f>SETUP!H43</f>
        <v>Reserves</v>
      </c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6"/>
      <c r="U55" s="166"/>
    </row>
    <row r="56" spans="2:21" s="150" customFormat="1" x14ac:dyDescent="0.3">
      <c r="B56" s="175" t="str">
        <f>SETUP!H44</f>
        <v>Building Maintenance</v>
      </c>
      <c r="C56" s="116" t="str">
        <f>IF(SUMIFS(Payments!$H:$H,Payments!$L:$L,"="&amp;$B56,Payments!$Q:$Q,"&gt;="&amp;C$4,Payments!$Q:$Q,"&lt;"&amp;EDATE(C$4,1))=0,"",
SUMIFS(Payments!$H:$H,Payments!$L:$L,"="&amp;$B56,Payments!$Q:$Q,"&gt;="&amp;C$4,Payments!$Q:$Q,"&lt;"&amp;EDATE(C$4,1)))</f>
        <v/>
      </c>
      <c r="D56" s="116" t="str">
        <f>IF(SUMIFS(Payments!$H:$H,Payments!$L:$L,"="&amp;$B56,Payments!$Q:$Q,"&gt;="&amp;D$4,Payments!$Q:$Q,"&lt;"&amp;EDATE(D$4,1))=0,"",
SUMIFS(Payments!$H:$H,Payments!$L:$L,"="&amp;$B56,Payments!$Q:$Q,"&gt;="&amp;D$4,Payments!$Q:$Q,"&lt;"&amp;EDATE(D$4,1)))</f>
        <v/>
      </c>
      <c r="E56" s="116" t="str">
        <f>IF(SUMIFS(Payments!$H:$H,Payments!$L:$L,"="&amp;$B56,Payments!$Q:$Q,"&gt;="&amp;E$4,Payments!$Q:$Q,"&lt;"&amp;EDATE(E$4,1))=0,"",
SUMIFS(Payments!$H:$H,Payments!$L:$L,"="&amp;$B56,Payments!$Q:$Q,"&gt;="&amp;E$4,Payments!$Q:$Q,"&lt;"&amp;EDATE(E$4,1)))</f>
        <v/>
      </c>
      <c r="F56" s="116" t="str">
        <f>IF(SUMIFS(Payments!$H:$H,Payments!$L:$L,"="&amp;$B56,Payments!$Q:$Q,"&gt;="&amp;F$4,Payments!$Q:$Q,"&lt;"&amp;EDATE(F$4,1))=0,"",
SUMIFS(Payments!$H:$H,Payments!$L:$L,"="&amp;$B56,Payments!$Q:$Q,"&gt;="&amp;F$4,Payments!$Q:$Q,"&lt;"&amp;EDATE(F$4,1)))</f>
        <v/>
      </c>
      <c r="G56" s="116" t="str">
        <f>IF(SUMIFS(Payments!$H:$H,Payments!$L:$L,"="&amp;$B56,Payments!$Q:$Q,"&gt;="&amp;G$4,Payments!$Q:$Q,"&lt;"&amp;EDATE(G$4,1))=0,"",
SUMIFS(Payments!$H:$H,Payments!$L:$L,"="&amp;$B56,Payments!$Q:$Q,"&gt;="&amp;G$4,Payments!$Q:$Q,"&lt;"&amp;EDATE(G$4,1)))</f>
        <v/>
      </c>
      <c r="H56" s="116" t="str">
        <f>IF(SUMIFS(Payments!$H:$H,Payments!$L:$L,"="&amp;$B56,Payments!$Q:$Q,"&gt;="&amp;H$4,Payments!$Q:$Q,"&lt;"&amp;EDATE(H$4,1))=0,"",
SUMIFS(Payments!$H:$H,Payments!$L:$L,"="&amp;$B56,Payments!$Q:$Q,"&gt;="&amp;H$4,Payments!$Q:$Q,"&lt;"&amp;EDATE(H$4,1)))</f>
        <v/>
      </c>
      <c r="I56" s="116" t="str">
        <f>IF(SUMIFS(Payments!$H:$H,Payments!$L:$L,"="&amp;$B56,Payments!$Q:$Q,"&gt;="&amp;I$4,Payments!$Q:$Q,"&lt;"&amp;EDATE(I$4,1))=0,"",
SUMIFS(Payments!$H:$H,Payments!$L:$L,"="&amp;$B56,Payments!$Q:$Q,"&gt;="&amp;I$4,Payments!$Q:$Q,"&lt;"&amp;EDATE(I$4,1)))</f>
        <v/>
      </c>
      <c r="J56" s="116" t="str">
        <f>IF(SUMIFS(Payments!$H:$H,Payments!$L:$L,"="&amp;$B56,Payments!$Q:$Q,"&gt;="&amp;J$4,Payments!$Q:$Q,"&lt;"&amp;EDATE(J$4,1))=0,"",
SUMIFS(Payments!$H:$H,Payments!$L:$L,"="&amp;$B56,Payments!$Q:$Q,"&gt;="&amp;J$4,Payments!$Q:$Q,"&lt;"&amp;EDATE(J$4,1)))</f>
        <v/>
      </c>
      <c r="K56" s="116" t="str">
        <f>IF(SUMIFS(Payments!$H:$H,Payments!$L:$L,"="&amp;$B56,Payments!$Q:$Q,"&gt;="&amp;K$4,Payments!$Q:$Q,"&lt;"&amp;EDATE(K$4,1))=0,"",
SUMIFS(Payments!$H:$H,Payments!$L:$L,"="&amp;$B56,Payments!$Q:$Q,"&gt;="&amp;K$4,Payments!$Q:$Q,"&lt;"&amp;EDATE(K$4,1)))</f>
        <v/>
      </c>
      <c r="L56" s="116" t="str">
        <f>IF(SUMIFS(Payments!$H:$H,Payments!$L:$L,"="&amp;$B56,Payments!$Q:$Q,"&gt;="&amp;L$4,Payments!$Q:$Q,"&lt;"&amp;EDATE(L$4,1))=0,"",
SUMIFS(Payments!$H:$H,Payments!$L:$L,"="&amp;$B56,Payments!$Q:$Q,"&gt;="&amp;L$4,Payments!$Q:$Q,"&lt;"&amp;EDATE(L$4,1)))</f>
        <v/>
      </c>
      <c r="M56" s="116" t="str">
        <f>IF(SUMIFS(Payments!$H:$H,Payments!$L:$L,"="&amp;$B56,Payments!$Q:$Q,"&gt;="&amp;M$4,Payments!$Q:$Q,"&lt;"&amp;EDATE(M$4,1))=0,"",
SUMIFS(Payments!$H:$H,Payments!$L:$L,"="&amp;$B56,Payments!$Q:$Q,"&gt;="&amp;M$4,Payments!$Q:$Q,"&lt;"&amp;EDATE(M$4,1)))</f>
        <v/>
      </c>
      <c r="N56" s="116" t="str">
        <f>IF(SUMIFS(Payments!$H:$H,Payments!$L:$L,"="&amp;$B56,Payments!$Q:$Q,"&gt;="&amp;N$4,Payments!$Q:$Q,"&lt;"&amp;EDATE(N$4,1))=0,"",
SUMIFS(Payments!$H:$H,Payments!$L:$L,"="&amp;$B56,Payments!$Q:$Q,"&gt;="&amp;N$4,Payments!$Q:$Q,"&lt;"&amp;EDATE(N$4,1)))</f>
        <v/>
      </c>
      <c r="O56" s="116">
        <f t="shared" ref="O56" si="44">SUM(C56:N56)</f>
        <v>0</v>
      </c>
      <c r="P56" s="116">
        <f>SUMIFS(Payments!$H:$H,Payments!$L:L,"="&amp;$B56,Payments!$Q:$Q,"="&amp;"")</f>
        <v>0</v>
      </c>
      <c r="Q56" s="116">
        <f t="shared" ref="Q56" si="45">SUM(O56:P56)</f>
        <v>0</v>
      </c>
      <c r="R56" s="116">
        <f>VLOOKUP(B56,SETUP!H:K,4,FALSE)</f>
        <v>1500</v>
      </c>
      <c r="S56" s="116">
        <f t="shared" ref="S56" si="46">R56-Q56</f>
        <v>1500</v>
      </c>
      <c r="T56" s="163">
        <f t="shared" ref="T56:T63" si="47">IF(Q56=0,0,Q56/Q$86)</f>
        <v>0</v>
      </c>
      <c r="U56" s="163">
        <f>IF(Q56=0,0,IF(AGAR!E$8=0,"No precept",Q56/AGAR!E$8))</f>
        <v>0</v>
      </c>
    </row>
    <row r="57" spans="2:21" s="150" customFormat="1" x14ac:dyDescent="0.3">
      <c r="B57" s="175" t="str">
        <f>SETUP!H45</f>
        <v>Business Contingency</v>
      </c>
      <c r="C57" s="116" t="str">
        <f>IF(SUMIFS(Payments!$H:$H,Payments!$L:$L,"="&amp;$B57,Payments!$Q:$Q,"&gt;="&amp;C$4,Payments!$Q:$Q,"&lt;"&amp;EDATE(C$4,1))=0,"",
SUMIFS(Payments!$H:$H,Payments!$L:$L,"="&amp;$B57,Payments!$Q:$Q,"&gt;="&amp;C$4,Payments!$Q:$Q,"&lt;"&amp;EDATE(C$4,1)))</f>
        <v/>
      </c>
      <c r="D57" s="116" t="str">
        <f>IF(SUMIFS(Payments!$H:$H,Payments!$L:$L,"="&amp;$B57,Payments!$Q:$Q,"&gt;="&amp;D$4,Payments!$Q:$Q,"&lt;"&amp;EDATE(D$4,1))=0,"",
SUMIFS(Payments!$H:$H,Payments!$L:$L,"="&amp;$B57,Payments!$Q:$Q,"&gt;="&amp;D$4,Payments!$Q:$Q,"&lt;"&amp;EDATE(D$4,1)))</f>
        <v/>
      </c>
      <c r="E57" s="116" t="str">
        <f>IF(SUMIFS(Payments!$H:$H,Payments!$L:$L,"="&amp;$B57,Payments!$Q:$Q,"&gt;="&amp;E$4,Payments!$Q:$Q,"&lt;"&amp;EDATE(E$4,1))=0,"",
SUMIFS(Payments!$H:$H,Payments!$L:$L,"="&amp;$B57,Payments!$Q:$Q,"&gt;="&amp;E$4,Payments!$Q:$Q,"&lt;"&amp;EDATE(E$4,1)))</f>
        <v/>
      </c>
      <c r="F57" s="116" t="str">
        <f>IF(SUMIFS(Payments!$H:$H,Payments!$L:$L,"="&amp;$B57,Payments!$Q:$Q,"&gt;="&amp;F$4,Payments!$Q:$Q,"&lt;"&amp;EDATE(F$4,1))=0,"",
SUMIFS(Payments!$H:$H,Payments!$L:$L,"="&amp;$B57,Payments!$Q:$Q,"&gt;="&amp;F$4,Payments!$Q:$Q,"&lt;"&amp;EDATE(F$4,1)))</f>
        <v/>
      </c>
      <c r="G57" s="116" t="str">
        <f>IF(SUMIFS(Payments!$H:$H,Payments!$L:$L,"="&amp;$B57,Payments!$Q:$Q,"&gt;="&amp;G$4,Payments!$Q:$Q,"&lt;"&amp;EDATE(G$4,1))=0,"",
SUMIFS(Payments!$H:$H,Payments!$L:$L,"="&amp;$B57,Payments!$Q:$Q,"&gt;="&amp;G$4,Payments!$Q:$Q,"&lt;"&amp;EDATE(G$4,1)))</f>
        <v/>
      </c>
      <c r="H57" s="116" t="str">
        <f>IF(SUMIFS(Payments!$H:$H,Payments!$L:$L,"="&amp;$B57,Payments!$Q:$Q,"&gt;="&amp;H$4,Payments!$Q:$Q,"&lt;"&amp;EDATE(H$4,1))=0,"",
SUMIFS(Payments!$H:$H,Payments!$L:$L,"="&amp;$B57,Payments!$Q:$Q,"&gt;="&amp;H$4,Payments!$Q:$Q,"&lt;"&amp;EDATE(H$4,1)))</f>
        <v/>
      </c>
      <c r="I57" s="116" t="str">
        <f>IF(SUMIFS(Payments!$H:$H,Payments!$L:$L,"="&amp;$B57,Payments!$Q:$Q,"&gt;="&amp;I$4,Payments!$Q:$Q,"&lt;"&amp;EDATE(I$4,1))=0,"",
SUMIFS(Payments!$H:$H,Payments!$L:$L,"="&amp;$B57,Payments!$Q:$Q,"&gt;="&amp;I$4,Payments!$Q:$Q,"&lt;"&amp;EDATE(I$4,1)))</f>
        <v/>
      </c>
      <c r="J57" s="116" t="str">
        <f>IF(SUMIFS(Payments!$H:$H,Payments!$L:$L,"="&amp;$B57,Payments!$Q:$Q,"&gt;="&amp;J$4,Payments!$Q:$Q,"&lt;"&amp;EDATE(J$4,1))=0,"",
SUMIFS(Payments!$H:$H,Payments!$L:$L,"="&amp;$B57,Payments!$Q:$Q,"&gt;="&amp;J$4,Payments!$Q:$Q,"&lt;"&amp;EDATE(J$4,1)))</f>
        <v/>
      </c>
      <c r="K57" s="116" t="str">
        <f>IF(SUMIFS(Payments!$H:$H,Payments!$L:$L,"="&amp;$B57,Payments!$Q:$Q,"&gt;="&amp;K$4,Payments!$Q:$Q,"&lt;"&amp;EDATE(K$4,1))=0,"",
SUMIFS(Payments!$H:$H,Payments!$L:$L,"="&amp;$B57,Payments!$Q:$Q,"&gt;="&amp;K$4,Payments!$Q:$Q,"&lt;"&amp;EDATE(K$4,1)))</f>
        <v/>
      </c>
      <c r="L57" s="116" t="str">
        <f>IF(SUMIFS(Payments!$H:$H,Payments!$L:$L,"="&amp;$B57,Payments!$Q:$Q,"&gt;="&amp;L$4,Payments!$Q:$Q,"&lt;"&amp;EDATE(L$4,1))=0,"",
SUMIFS(Payments!$H:$H,Payments!$L:$L,"="&amp;$B57,Payments!$Q:$Q,"&gt;="&amp;L$4,Payments!$Q:$Q,"&lt;"&amp;EDATE(L$4,1)))</f>
        <v/>
      </c>
      <c r="M57" s="116" t="str">
        <f>IF(SUMIFS(Payments!$H:$H,Payments!$L:$L,"="&amp;$B57,Payments!$Q:$Q,"&gt;="&amp;M$4,Payments!$Q:$Q,"&lt;"&amp;EDATE(M$4,1))=0,"",
SUMIFS(Payments!$H:$H,Payments!$L:$L,"="&amp;$B57,Payments!$Q:$Q,"&gt;="&amp;M$4,Payments!$Q:$Q,"&lt;"&amp;EDATE(M$4,1)))</f>
        <v/>
      </c>
      <c r="N57" s="116" t="str">
        <f>IF(SUMIFS(Payments!$H:$H,Payments!$L:$L,"="&amp;$B57,Payments!$Q:$Q,"&gt;="&amp;N$4,Payments!$Q:$Q,"&lt;"&amp;EDATE(N$4,1))=0,"",
SUMIFS(Payments!$H:$H,Payments!$L:$L,"="&amp;$B57,Payments!$Q:$Q,"&gt;="&amp;N$4,Payments!$Q:$Q,"&lt;"&amp;EDATE(N$4,1)))</f>
        <v/>
      </c>
      <c r="O57" s="116">
        <f t="shared" ref="O57:O63" si="48">SUM(C57:N57)</f>
        <v>0</v>
      </c>
      <c r="P57" s="116">
        <f>SUMIFS(Payments!$H:$H,Payments!$L:L,"="&amp;$B57,Payments!$Q:$Q,"="&amp;"")</f>
        <v>0</v>
      </c>
      <c r="Q57" s="116">
        <f t="shared" ref="Q57:Q63" si="49">SUM(O57:P57)</f>
        <v>0</v>
      </c>
      <c r="R57" s="116">
        <f>VLOOKUP(B57,SETUP!H:K,4,FALSE)</f>
        <v>10000</v>
      </c>
      <c r="S57" s="116">
        <f t="shared" ref="S57:S63" si="50">R57-Q57</f>
        <v>10000</v>
      </c>
      <c r="T57" s="163">
        <f t="shared" si="47"/>
        <v>0</v>
      </c>
      <c r="U57" s="163">
        <f>IF(Q57=0,0,IF(AGAR!E$8=0,"No precept",Q57/AGAR!E$8))</f>
        <v>0</v>
      </c>
    </row>
    <row r="58" spans="2:21" s="150" customFormat="1" x14ac:dyDescent="0.3">
      <c r="B58" s="175" t="str">
        <f>SETUP!H46</f>
        <v>Emergency</v>
      </c>
      <c r="C58" s="116" t="str">
        <f>IF(SUMIFS(Payments!$H:$H,Payments!$L:$L,"="&amp;$B58,Payments!$Q:$Q,"&gt;="&amp;C$4,Payments!$Q:$Q,"&lt;"&amp;EDATE(C$4,1))=0,"",
SUMIFS(Payments!$H:$H,Payments!$L:$L,"="&amp;$B58,Payments!$Q:$Q,"&gt;="&amp;C$4,Payments!$Q:$Q,"&lt;"&amp;EDATE(C$4,1)))</f>
        <v/>
      </c>
      <c r="D58" s="116" t="str">
        <f>IF(SUMIFS(Payments!$H:$H,Payments!$L:$L,"="&amp;$B58,Payments!$Q:$Q,"&gt;="&amp;D$4,Payments!$Q:$Q,"&lt;"&amp;EDATE(D$4,1))=0,"",
SUMIFS(Payments!$H:$H,Payments!$L:$L,"="&amp;$B58,Payments!$Q:$Q,"&gt;="&amp;D$4,Payments!$Q:$Q,"&lt;"&amp;EDATE(D$4,1)))</f>
        <v/>
      </c>
      <c r="E58" s="116" t="str">
        <f>IF(SUMIFS(Payments!$H:$H,Payments!$L:$L,"="&amp;$B58,Payments!$Q:$Q,"&gt;="&amp;E$4,Payments!$Q:$Q,"&lt;"&amp;EDATE(E$4,1))=0,"",
SUMIFS(Payments!$H:$H,Payments!$L:$L,"="&amp;$B58,Payments!$Q:$Q,"&gt;="&amp;E$4,Payments!$Q:$Q,"&lt;"&amp;EDATE(E$4,1)))</f>
        <v/>
      </c>
      <c r="F58" s="116" t="str">
        <f>IF(SUMIFS(Payments!$H:$H,Payments!$L:$L,"="&amp;$B58,Payments!$Q:$Q,"&gt;="&amp;F$4,Payments!$Q:$Q,"&lt;"&amp;EDATE(F$4,1))=0,"",
SUMIFS(Payments!$H:$H,Payments!$L:$L,"="&amp;$B58,Payments!$Q:$Q,"&gt;="&amp;F$4,Payments!$Q:$Q,"&lt;"&amp;EDATE(F$4,1)))</f>
        <v/>
      </c>
      <c r="G58" s="116" t="str">
        <f>IF(SUMIFS(Payments!$H:$H,Payments!$L:$L,"="&amp;$B58,Payments!$Q:$Q,"&gt;="&amp;G$4,Payments!$Q:$Q,"&lt;"&amp;EDATE(G$4,1))=0,"",
SUMIFS(Payments!$H:$H,Payments!$L:$L,"="&amp;$B58,Payments!$Q:$Q,"&gt;="&amp;G$4,Payments!$Q:$Q,"&lt;"&amp;EDATE(G$4,1)))</f>
        <v/>
      </c>
      <c r="H58" s="116" t="str">
        <f>IF(SUMIFS(Payments!$H:$H,Payments!$L:$L,"="&amp;$B58,Payments!$Q:$Q,"&gt;="&amp;H$4,Payments!$Q:$Q,"&lt;"&amp;EDATE(H$4,1))=0,"",
SUMIFS(Payments!$H:$H,Payments!$L:$L,"="&amp;$B58,Payments!$Q:$Q,"&gt;="&amp;H$4,Payments!$Q:$Q,"&lt;"&amp;EDATE(H$4,1)))</f>
        <v/>
      </c>
      <c r="I58" s="116" t="str">
        <f>IF(SUMIFS(Payments!$H:$H,Payments!$L:$L,"="&amp;$B58,Payments!$Q:$Q,"&gt;="&amp;I$4,Payments!$Q:$Q,"&lt;"&amp;EDATE(I$4,1))=0,"",
SUMIFS(Payments!$H:$H,Payments!$L:$L,"="&amp;$B58,Payments!$Q:$Q,"&gt;="&amp;I$4,Payments!$Q:$Q,"&lt;"&amp;EDATE(I$4,1)))</f>
        <v/>
      </c>
      <c r="J58" s="116" t="str">
        <f>IF(SUMIFS(Payments!$H:$H,Payments!$L:$L,"="&amp;$B58,Payments!$Q:$Q,"&gt;="&amp;J$4,Payments!$Q:$Q,"&lt;"&amp;EDATE(J$4,1))=0,"",
SUMIFS(Payments!$H:$H,Payments!$L:$L,"="&amp;$B58,Payments!$Q:$Q,"&gt;="&amp;J$4,Payments!$Q:$Q,"&lt;"&amp;EDATE(J$4,1)))</f>
        <v/>
      </c>
      <c r="K58" s="116" t="str">
        <f>IF(SUMIFS(Payments!$H:$H,Payments!$L:$L,"="&amp;$B58,Payments!$Q:$Q,"&gt;="&amp;K$4,Payments!$Q:$Q,"&lt;"&amp;EDATE(K$4,1))=0,"",
SUMIFS(Payments!$H:$H,Payments!$L:$L,"="&amp;$B58,Payments!$Q:$Q,"&gt;="&amp;K$4,Payments!$Q:$Q,"&lt;"&amp;EDATE(K$4,1)))</f>
        <v/>
      </c>
      <c r="L58" s="116" t="str">
        <f>IF(SUMIFS(Payments!$H:$H,Payments!$L:$L,"="&amp;$B58,Payments!$Q:$Q,"&gt;="&amp;L$4,Payments!$Q:$Q,"&lt;"&amp;EDATE(L$4,1))=0,"",
SUMIFS(Payments!$H:$H,Payments!$L:$L,"="&amp;$B58,Payments!$Q:$Q,"&gt;="&amp;L$4,Payments!$Q:$Q,"&lt;"&amp;EDATE(L$4,1)))</f>
        <v/>
      </c>
      <c r="M58" s="116" t="str">
        <f>IF(SUMIFS(Payments!$H:$H,Payments!$L:$L,"="&amp;$B58,Payments!$Q:$Q,"&gt;="&amp;M$4,Payments!$Q:$Q,"&lt;"&amp;EDATE(M$4,1))=0,"",
SUMIFS(Payments!$H:$H,Payments!$L:$L,"="&amp;$B58,Payments!$Q:$Q,"&gt;="&amp;M$4,Payments!$Q:$Q,"&lt;"&amp;EDATE(M$4,1)))</f>
        <v/>
      </c>
      <c r="N58" s="116" t="str">
        <f>IF(SUMIFS(Payments!$H:$H,Payments!$L:$L,"="&amp;$B58,Payments!$Q:$Q,"&gt;="&amp;N$4,Payments!$Q:$Q,"&lt;"&amp;EDATE(N$4,1))=0,"",
SUMIFS(Payments!$H:$H,Payments!$L:$L,"="&amp;$B58,Payments!$Q:$Q,"&gt;="&amp;N$4,Payments!$Q:$Q,"&lt;"&amp;EDATE(N$4,1)))</f>
        <v/>
      </c>
      <c r="O58" s="116">
        <f t="shared" si="48"/>
        <v>0</v>
      </c>
      <c r="P58" s="116">
        <f>SUMIFS(Payments!$H:$H,Payments!$L:L,"="&amp;$B58,Payments!$Q:$Q,"="&amp;"")</f>
        <v>0</v>
      </c>
      <c r="Q58" s="116">
        <f t="shared" si="49"/>
        <v>0</v>
      </c>
      <c r="R58" s="116">
        <f>VLOOKUP(B58,SETUP!H:K,4,FALSE)</f>
        <v>6500</v>
      </c>
      <c r="S58" s="116">
        <f t="shared" si="50"/>
        <v>6500</v>
      </c>
      <c r="T58" s="163">
        <f t="shared" si="47"/>
        <v>0</v>
      </c>
      <c r="U58" s="163">
        <f>IF(Q58=0,0,IF(AGAR!E$8=0,"No precept",Q58/AGAR!E$8))</f>
        <v>0</v>
      </c>
    </row>
    <row r="59" spans="2:21" s="150" customFormat="1" x14ac:dyDescent="0.3">
      <c r="B59" s="175" t="str">
        <f>SETUP!H47</f>
        <v>General Reserves</v>
      </c>
      <c r="C59" s="116" t="str">
        <f>IF(SUMIFS(Payments!$H:$H,Payments!$L:$L,"="&amp;$B59,Payments!$Q:$Q,"&gt;="&amp;C$4,Payments!$Q:$Q,"&lt;"&amp;EDATE(C$4,1))=0,"",
SUMIFS(Payments!$H:$H,Payments!$L:$L,"="&amp;$B59,Payments!$Q:$Q,"&gt;="&amp;C$4,Payments!$Q:$Q,"&lt;"&amp;EDATE(C$4,1)))</f>
        <v/>
      </c>
      <c r="D59" s="116" t="str">
        <f>IF(SUMIFS(Payments!$H:$H,Payments!$L:$L,"="&amp;$B59,Payments!$Q:$Q,"&gt;="&amp;D$4,Payments!$Q:$Q,"&lt;"&amp;EDATE(D$4,1))=0,"",
SUMIFS(Payments!$H:$H,Payments!$L:$L,"="&amp;$B59,Payments!$Q:$Q,"&gt;="&amp;D$4,Payments!$Q:$Q,"&lt;"&amp;EDATE(D$4,1)))</f>
        <v/>
      </c>
      <c r="E59" s="116" t="str">
        <f>IF(SUMIFS(Payments!$H:$H,Payments!$L:$L,"="&amp;$B59,Payments!$Q:$Q,"&gt;="&amp;E$4,Payments!$Q:$Q,"&lt;"&amp;EDATE(E$4,1))=0,"",
SUMIFS(Payments!$H:$H,Payments!$L:$L,"="&amp;$B59,Payments!$Q:$Q,"&gt;="&amp;E$4,Payments!$Q:$Q,"&lt;"&amp;EDATE(E$4,1)))</f>
        <v/>
      </c>
      <c r="F59" s="116" t="str">
        <f>IF(SUMIFS(Payments!$H:$H,Payments!$L:$L,"="&amp;$B59,Payments!$Q:$Q,"&gt;="&amp;F$4,Payments!$Q:$Q,"&lt;"&amp;EDATE(F$4,1))=0,"",
SUMIFS(Payments!$H:$H,Payments!$L:$L,"="&amp;$B59,Payments!$Q:$Q,"&gt;="&amp;F$4,Payments!$Q:$Q,"&lt;"&amp;EDATE(F$4,1)))</f>
        <v/>
      </c>
      <c r="G59" s="116" t="str">
        <f>IF(SUMIFS(Payments!$H:$H,Payments!$L:$L,"="&amp;$B59,Payments!$Q:$Q,"&gt;="&amp;G$4,Payments!$Q:$Q,"&lt;"&amp;EDATE(G$4,1))=0,"",
SUMIFS(Payments!$H:$H,Payments!$L:$L,"="&amp;$B59,Payments!$Q:$Q,"&gt;="&amp;G$4,Payments!$Q:$Q,"&lt;"&amp;EDATE(G$4,1)))</f>
        <v/>
      </c>
      <c r="H59" s="116" t="str">
        <f>IF(SUMIFS(Payments!$H:$H,Payments!$L:$L,"="&amp;$B59,Payments!$Q:$Q,"&gt;="&amp;H$4,Payments!$Q:$Q,"&lt;"&amp;EDATE(H$4,1))=0,"",
SUMIFS(Payments!$H:$H,Payments!$L:$L,"="&amp;$B59,Payments!$Q:$Q,"&gt;="&amp;H$4,Payments!$Q:$Q,"&lt;"&amp;EDATE(H$4,1)))</f>
        <v/>
      </c>
      <c r="I59" s="116" t="str">
        <f>IF(SUMIFS(Payments!$H:$H,Payments!$L:$L,"="&amp;$B59,Payments!$Q:$Q,"&gt;="&amp;I$4,Payments!$Q:$Q,"&lt;"&amp;EDATE(I$4,1))=0,"",
SUMIFS(Payments!$H:$H,Payments!$L:$L,"="&amp;$B59,Payments!$Q:$Q,"&gt;="&amp;I$4,Payments!$Q:$Q,"&lt;"&amp;EDATE(I$4,1)))</f>
        <v/>
      </c>
      <c r="J59" s="116" t="str">
        <f>IF(SUMIFS(Payments!$H:$H,Payments!$L:$L,"="&amp;$B59,Payments!$Q:$Q,"&gt;="&amp;J$4,Payments!$Q:$Q,"&lt;"&amp;EDATE(J$4,1))=0,"",
SUMIFS(Payments!$H:$H,Payments!$L:$L,"="&amp;$B59,Payments!$Q:$Q,"&gt;="&amp;J$4,Payments!$Q:$Q,"&lt;"&amp;EDATE(J$4,1)))</f>
        <v/>
      </c>
      <c r="K59" s="116" t="str">
        <f>IF(SUMIFS(Payments!$H:$H,Payments!$L:$L,"="&amp;$B59,Payments!$Q:$Q,"&gt;="&amp;K$4,Payments!$Q:$Q,"&lt;"&amp;EDATE(K$4,1))=0,"",
SUMIFS(Payments!$H:$H,Payments!$L:$L,"="&amp;$B59,Payments!$Q:$Q,"&gt;="&amp;K$4,Payments!$Q:$Q,"&lt;"&amp;EDATE(K$4,1)))</f>
        <v/>
      </c>
      <c r="L59" s="116" t="str">
        <f>IF(SUMIFS(Payments!$H:$H,Payments!$L:$L,"="&amp;$B59,Payments!$Q:$Q,"&gt;="&amp;L$4,Payments!$Q:$Q,"&lt;"&amp;EDATE(L$4,1))=0,"",
SUMIFS(Payments!$H:$H,Payments!$L:$L,"="&amp;$B59,Payments!$Q:$Q,"&gt;="&amp;L$4,Payments!$Q:$Q,"&lt;"&amp;EDATE(L$4,1)))</f>
        <v/>
      </c>
      <c r="M59" s="116" t="str">
        <f>IF(SUMIFS(Payments!$H:$H,Payments!$L:$L,"="&amp;$B59,Payments!$Q:$Q,"&gt;="&amp;M$4,Payments!$Q:$Q,"&lt;"&amp;EDATE(M$4,1))=0,"",
SUMIFS(Payments!$H:$H,Payments!$L:$L,"="&amp;$B59,Payments!$Q:$Q,"&gt;="&amp;M$4,Payments!$Q:$Q,"&lt;"&amp;EDATE(M$4,1)))</f>
        <v/>
      </c>
      <c r="N59" s="116" t="str">
        <f>IF(SUMIFS(Payments!$H:$H,Payments!$L:$L,"="&amp;$B59,Payments!$Q:$Q,"&gt;="&amp;N$4,Payments!$Q:$Q,"&lt;"&amp;EDATE(N$4,1))=0,"",
SUMIFS(Payments!$H:$H,Payments!$L:$L,"="&amp;$B59,Payments!$Q:$Q,"&gt;="&amp;N$4,Payments!$Q:$Q,"&lt;"&amp;EDATE(N$4,1)))</f>
        <v/>
      </c>
      <c r="O59" s="116">
        <f t="shared" si="48"/>
        <v>0</v>
      </c>
      <c r="P59" s="116">
        <f>SUMIFS(Payments!$H:$H,Payments!$L:L,"="&amp;$B59,Payments!$Q:$Q,"="&amp;"")</f>
        <v>0</v>
      </c>
      <c r="Q59" s="116">
        <f t="shared" si="49"/>
        <v>0</v>
      </c>
      <c r="R59" s="116">
        <f>VLOOKUP(B59,SETUP!H:K,4,FALSE)</f>
        <v>20000</v>
      </c>
      <c r="S59" s="116">
        <f t="shared" si="50"/>
        <v>20000</v>
      </c>
      <c r="T59" s="163">
        <f t="shared" si="47"/>
        <v>0</v>
      </c>
      <c r="U59" s="163">
        <f>IF(Q59=0,0,IF(AGAR!E$8=0,"No precept",Q59/AGAR!E$8))</f>
        <v>0</v>
      </c>
    </row>
    <row r="60" spans="2:21" s="150" customFormat="1" x14ac:dyDescent="0.3">
      <c r="B60" s="175" t="str">
        <f>SETUP!H48</f>
        <v>Grounds Equipment</v>
      </c>
      <c r="C60" s="116" t="str">
        <f>IF(SUMIFS(Payments!$H:$H,Payments!$L:$L,"="&amp;$B60,Payments!$Q:$Q,"&gt;="&amp;C$4,Payments!$Q:$Q,"&lt;"&amp;EDATE(C$4,1))=0,"",
SUMIFS(Payments!$H:$H,Payments!$L:$L,"="&amp;$B60,Payments!$Q:$Q,"&gt;="&amp;C$4,Payments!$Q:$Q,"&lt;"&amp;EDATE(C$4,1)))</f>
        <v/>
      </c>
      <c r="D60" s="116" t="str">
        <f>IF(SUMIFS(Payments!$H:$H,Payments!$L:$L,"="&amp;$B60,Payments!$Q:$Q,"&gt;="&amp;D$4,Payments!$Q:$Q,"&lt;"&amp;EDATE(D$4,1))=0,"",
SUMIFS(Payments!$H:$H,Payments!$L:$L,"="&amp;$B60,Payments!$Q:$Q,"&gt;="&amp;D$4,Payments!$Q:$Q,"&lt;"&amp;EDATE(D$4,1)))</f>
        <v/>
      </c>
      <c r="E60" s="116" t="str">
        <f>IF(SUMIFS(Payments!$H:$H,Payments!$L:$L,"="&amp;$B60,Payments!$Q:$Q,"&gt;="&amp;E$4,Payments!$Q:$Q,"&lt;"&amp;EDATE(E$4,1))=0,"",
SUMIFS(Payments!$H:$H,Payments!$L:$L,"="&amp;$B60,Payments!$Q:$Q,"&gt;="&amp;E$4,Payments!$Q:$Q,"&lt;"&amp;EDATE(E$4,1)))</f>
        <v/>
      </c>
      <c r="F60" s="116" t="str">
        <f>IF(SUMIFS(Payments!$H:$H,Payments!$L:$L,"="&amp;$B60,Payments!$Q:$Q,"&gt;="&amp;F$4,Payments!$Q:$Q,"&lt;"&amp;EDATE(F$4,1))=0,"",
SUMIFS(Payments!$H:$H,Payments!$L:$L,"="&amp;$B60,Payments!$Q:$Q,"&gt;="&amp;F$4,Payments!$Q:$Q,"&lt;"&amp;EDATE(F$4,1)))</f>
        <v/>
      </c>
      <c r="G60" s="116" t="str">
        <f>IF(SUMIFS(Payments!$H:$H,Payments!$L:$L,"="&amp;$B60,Payments!$Q:$Q,"&gt;="&amp;G$4,Payments!$Q:$Q,"&lt;"&amp;EDATE(G$4,1))=0,"",
SUMIFS(Payments!$H:$H,Payments!$L:$L,"="&amp;$B60,Payments!$Q:$Q,"&gt;="&amp;G$4,Payments!$Q:$Q,"&lt;"&amp;EDATE(G$4,1)))</f>
        <v/>
      </c>
      <c r="H60" s="116" t="str">
        <f>IF(SUMIFS(Payments!$H:$H,Payments!$L:$L,"="&amp;$B60,Payments!$Q:$Q,"&gt;="&amp;H$4,Payments!$Q:$Q,"&lt;"&amp;EDATE(H$4,1))=0,"",
SUMIFS(Payments!$H:$H,Payments!$L:$L,"="&amp;$B60,Payments!$Q:$Q,"&gt;="&amp;H$4,Payments!$Q:$Q,"&lt;"&amp;EDATE(H$4,1)))</f>
        <v/>
      </c>
      <c r="I60" s="116" t="str">
        <f>IF(SUMIFS(Payments!$H:$H,Payments!$L:$L,"="&amp;$B60,Payments!$Q:$Q,"&gt;="&amp;I$4,Payments!$Q:$Q,"&lt;"&amp;EDATE(I$4,1))=0,"",
SUMIFS(Payments!$H:$H,Payments!$L:$L,"="&amp;$B60,Payments!$Q:$Q,"&gt;="&amp;I$4,Payments!$Q:$Q,"&lt;"&amp;EDATE(I$4,1)))</f>
        <v/>
      </c>
      <c r="J60" s="116" t="str">
        <f>IF(SUMIFS(Payments!$H:$H,Payments!$L:$L,"="&amp;$B60,Payments!$Q:$Q,"&gt;="&amp;J$4,Payments!$Q:$Q,"&lt;"&amp;EDATE(J$4,1))=0,"",
SUMIFS(Payments!$H:$H,Payments!$L:$L,"="&amp;$B60,Payments!$Q:$Q,"&gt;="&amp;J$4,Payments!$Q:$Q,"&lt;"&amp;EDATE(J$4,1)))</f>
        <v/>
      </c>
      <c r="K60" s="116" t="str">
        <f>IF(SUMIFS(Payments!$H:$H,Payments!$L:$L,"="&amp;$B60,Payments!$Q:$Q,"&gt;="&amp;K$4,Payments!$Q:$Q,"&lt;"&amp;EDATE(K$4,1))=0,"",
SUMIFS(Payments!$H:$H,Payments!$L:$L,"="&amp;$B60,Payments!$Q:$Q,"&gt;="&amp;K$4,Payments!$Q:$Q,"&lt;"&amp;EDATE(K$4,1)))</f>
        <v/>
      </c>
      <c r="L60" s="116" t="str">
        <f>IF(SUMIFS(Payments!$H:$H,Payments!$L:$L,"="&amp;$B60,Payments!$Q:$Q,"&gt;="&amp;L$4,Payments!$Q:$Q,"&lt;"&amp;EDATE(L$4,1))=0,"",
SUMIFS(Payments!$H:$H,Payments!$L:$L,"="&amp;$B60,Payments!$Q:$Q,"&gt;="&amp;L$4,Payments!$Q:$Q,"&lt;"&amp;EDATE(L$4,1)))</f>
        <v/>
      </c>
      <c r="M60" s="116" t="str">
        <f>IF(SUMIFS(Payments!$H:$H,Payments!$L:$L,"="&amp;$B60,Payments!$Q:$Q,"&gt;="&amp;M$4,Payments!$Q:$Q,"&lt;"&amp;EDATE(M$4,1))=0,"",
SUMIFS(Payments!$H:$H,Payments!$L:$L,"="&amp;$B60,Payments!$Q:$Q,"&gt;="&amp;M$4,Payments!$Q:$Q,"&lt;"&amp;EDATE(M$4,1)))</f>
        <v/>
      </c>
      <c r="N60" s="116" t="str">
        <f>IF(SUMIFS(Payments!$H:$H,Payments!$L:$L,"="&amp;$B60,Payments!$Q:$Q,"&gt;="&amp;N$4,Payments!$Q:$Q,"&lt;"&amp;EDATE(N$4,1))=0,"",
SUMIFS(Payments!$H:$H,Payments!$L:$L,"="&amp;$B60,Payments!$Q:$Q,"&gt;="&amp;N$4,Payments!$Q:$Q,"&lt;"&amp;EDATE(N$4,1)))</f>
        <v/>
      </c>
      <c r="O60" s="116">
        <f t="shared" si="48"/>
        <v>0</v>
      </c>
      <c r="P60" s="116">
        <f>SUMIFS(Payments!$H:$H,Payments!$L:L,"="&amp;$B60,Payments!$Q:$Q,"="&amp;"")</f>
        <v>0</v>
      </c>
      <c r="Q60" s="116">
        <f t="shared" si="49"/>
        <v>0</v>
      </c>
      <c r="R60" s="116">
        <f>VLOOKUP(B60,SETUP!H:K,4,FALSE)</f>
        <v>7320</v>
      </c>
      <c r="S60" s="116">
        <f t="shared" si="50"/>
        <v>7320</v>
      </c>
      <c r="T60" s="163">
        <f t="shared" si="47"/>
        <v>0</v>
      </c>
      <c r="U60" s="163">
        <f>IF(Q60=0,0,IF(AGAR!E$8=0,"No precept",Q60/AGAR!E$8))</f>
        <v>0</v>
      </c>
    </row>
    <row r="61" spans="2:21" s="150" customFormat="1" x14ac:dyDescent="0.3">
      <c r="B61" s="175" t="str">
        <f>SETUP!H49</f>
        <v>Legal</v>
      </c>
      <c r="C61" s="116" t="str">
        <f>IF(SUMIFS(Payments!$H:$H,Payments!$L:$L,"="&amp;$B61,Payments!$Q:$Q,"&gt;="&amp;C$4,Payments!$Q:$Q,"&lt;"&amp;EDATE(C$4,1))=0,"",
SUMIFS(Payments!$H:$H,Payments!$L:$L,"="&amp;$B61,Payments!$Q:$Q,"&gt;="&amp;C$4,Payments!$Q:$Q,"&lt;"&amp;EDATE(C$4,1)))</f>
        <v/>
      </c>
      <c r="D61" s="116" t="str">
        <f>IF(SUMIFS(Payments!$H:$H,Payments!$L:$L,"="&amp;$B61,Payments!$Q:$Q,"&gt;="&amp;D$4,Payments!$Q:$Q,"&lt;"&amp;EDATE(D$4,1))=0,"",
SUMIFS(Payments!$H:$H,Payments!$L:$L,"="&amp;$B61,Payments!$Q:$Q,"&gt;="&amp;D$4,Payments!$Q:$Q,"&lt;"&amp;EDATE(D$4,1)))</f>
        <v/>
      </c>
      <c r="E61" s="116" t="str">
        <f>IF(SUMIFS(Payments!$H:$H,Payments!$L:$L,"="&amp;$B61,Payments!$Q:$Q,"&gt;="&amp;E$4,Payments!$Q:$Q,"&lt;"&amp;EDATE(E$4,1))=0,"",
SUMIFS(Payments!$H:$H,Payments!$L:$L,"="&amp;$B61,Payments!$Q:$Q,"&gt;="&amp;E$4,Payments!$Q:$Q,"&lt;"&amp;EDATE(E$4,1)))</f>
        <v/>
      </c>
      <c r="F61" s="116" t="str">
        <f>IF(SUMIFS(Payments!$H:$H,Payments!$L:$L,"="&amp;$B61,Payments!$Q:$Q,"&gt;="&amp;F$4,Payments!$Q:$Q,"&lt;"&amp;EDATE(F$4,1))=0,"",
SUMIFS(Payments!$H:$H,Payments!$L:$L,"="&amp;$B61,Payments!$Q:$Q,"&gt;="&amp;F$4,Payments!$Q:$Q,"&lt;"&amp;EDATE(F$4,1)))</f>
        <v/>
      </c>
      <c r="G61" s="116" t="str">
        <f>IF(SUMIFS(Payments!$H:$H,Payments!$L:$L,"="&amp;$B61,Payments!$Q:$Q,"&gt;="&amp;G$4,Payments!$Q:$Q,"&lt;"&amp;EDATE(G$4,1))=0,"",
SUMIFS(Payments!$H:$H,Payments!$L:$L,"="&amp;$B61,Payments!$Q:$Q,"&gt;="&amp;G$4,Payments!$Q:$Q,"&lt;"&amp;EDATE(G$4,1)))</f>
        <v/>
      </c>
      <c r="H61" s="116" t="str">
        <f>IF(SUMIFS(Payments!$H:$H,Payments!$L:$L,"="&amp;$B61,Payments!$Q:$Q,"&gt;="&amp;H$4,Payments!$Q:$Q,"&lt;"&amp;EDATE(H$4,1))=0,"",
SUMIFS(Payments!$H:$H,Payments!$L:$L,"="&amp;$B61,Payments!$Q:$Q,"&gt;="&amp;H$4,Payments!$Q:$Q,"&lt;"&amp;EDATE(H$4,1)))</f>
        <v/>
      </c>
      <c r="I61" s="116" t="str">
        <f>IF(SUMIFS(Payments!$H:$H,Payments!$L:$L,"="&amp;$B61,Payments!$Q:$Q,"&gt;="&amp;I$4,Payments!$Q:$Q,"&lt;"&amp;EDATE(I$4,1))=0,"",
SUMIFS(Payments!$H:$H,Payments!$L:$L,"="&amp;$B61,Payments!$Q:$Q,"&gt;="&amp;I$4,Payments!$Q:$Q,"&lt;"&amp;EDATE(I$4,1)))</f>
        <v/>
      </c>
      <c r="J61" s="116" t="str">
        <f>IF(SUMIFS(Payments!$H:$H,Payments!$L:$L,"="&amp;$B61,Payments!$Q:$Q,"&gt;="&amp;J$4,Payments!$Q:$Q,"&lt;"&amp;EDATE(J$4,1))=0,"",
SUMIFS(Payments!$H:$H,Payments!$L:$L,"="&amp;$B61,Payments!$Q:$Q,"&gt;="&amp;J$4,Payments!$Q:$Q,"&lt;"&amp;EDATE(J$4,1)))</f>
        <v/>
      </c>
      <c r="K61" s="116" t="str">
        <f>IF(SUMIFS(Payments!$H:$H,Payments!$L:$L,"="&amp;$B61,Payments!$Q:$Q,"&gt;="&amp;K$4,Payments!$Q:$Q,"&lt;"&amp;EDATE(K$4,1))=0,"",
SUMIFS(Payments!$H:$H,Payments!$L:$L,"="&amp;$B61,Payments!$Q:$Q,"&gt;="&amp;K$4,Payments!$Q:$Q,"&lt;"&amp;EDATE(K$4,1)))</f>
        <v/>
      </c>
      <c r="L61" s="116" t="str">
        <f>IF(SUMIFS(Payments!$H:$H,Payments!$L:$L,"="&amp;$B61,Payments!$Q:$Q,"&gt;="&amp;L$4,Payments!$Q:$Q,"&lt;"&amp;EDATE(L$4,1))=0,"",
SUMIFS(Payments!$H:$H,Payments!$L:$L,"="&amp;$B61,Payments!$Q:$Q,"&gt;="&amp;L$4,Payments!$Q:$Q,"&lt;"&amp;EDATE(L$4,1)))</f>
        <v/>
      </c>
      <c r="M61" s="116" t="str">
        <f>IF(SUMIFS(Payments!$H:$H,Payments!$L:$L,"="&amp;$B61,Payments!$Q:$Q,"&gt;="&amp;M$4,Payments!$Q:$Q,"&lt;"&amp;EDATE(M$4,1))=0,"",
SUMIFS(Payments!$H:$H,Payments!$L:$L,"="&amp;$B61,Payments!$Q:$Q,"&gt;="&amp;M$4,Payments!$Q:$Q,"&lt;"&amp;EDATE(M$4,1)))</f>
        <v/>
      </c>
      <c r="N61" s="116" t="str">
        <f>IF(SUMIFS(Payments!$H:$H,Payments!$L:$L,"="&amp;$B61,Payments!$Q:$Q,"&gt;="&amp;N$4,Payments!$Q:$Q,"&lt;"&amp;EDATE(N$4,1))=0,"",
SUMIFS(Payments!$H:$H,Payments!$L:$L,"="&amp;$B61,Payments!$Q:$Q,"&gt;="&amp;N$4,Payments!$Q:$Q,"&lt;"&amp;EDATE(N$4,1)))</f>
        <v/>
      </c>
      <c r="O61" s="116">
        <f t="shared" si="48"/>
        <v>0</v>
      </c>
      <c r="P61" s="116">
        <f>SUMIFS(Payments!$H:$H,Payments!$L:L,"="&amp;$B61,Payments!$Q:$Q,"="&amp;"")</f>
        <v>0</v>
      </c>
      <c r="Q61" s="116">
        <f t="shared" si="49"/>
        <v>0</v>
      </c>
      <c r="R61" s="116">
        <f>VLOOKUP(B61,SETUP!H:K,4,FALSE)</f>
        <v>18000</v>
      </c>
      <c r="S61" s="116">
        <f t="shared" si="50"/>
        <v>18000</v>
      </c>
      <c r="T61" s="163">
        <f t="shared" si="47"/>
        <v>0</v>
      </c>
      <c r="U61" s="163">
        <f>IF(Q61=0,0,IF(AGAR!E$8=0,"No precept",Q61/AGAR!E$8))</f>
        <v>0</v>
      </c>
    </row>
    <row r="62" spans="2:21" s="150" customFormat="1" x14ac:dyDescent="0.3">
      <c r="B62" s="175" t="str">
        <f>SETUP!H50</f>
        <v>Roundabout</v>
      </c>
      <c r="C62" s="116" t="str">
        <f>IF(SUMIFS(Payments!$H:$H,Payments!$L:$L,"="&amp;$B62,Payments!$Q:$Q,"&gt;="&amp;C$4,Payments!$Q:$Q,"&lt;"&amp;EDATE(C$4,1))=0,"",
SUMIFS(Payments!$H:$H,Payments!$L:$L,"="&amp;$B62,Payments!$Q:$Q,"&gt;="&amp;C$4,Payments!$Q:$Q,"&lt;"&amp;EDATE(C$4,1)))</f>
        <v/>
      </c>
      <c r="D62" s="116" t="str">
        <f>IF(SUMIFS(Payments!$H:$H,Payments!$L:$L,"="&amp;$B62,Payments!$Q:$Q,"&gt;="&amp;D$4,Payments!$Q:$Q,"&lt;"&amp;EDATE(D$4,1))=0,"",
SUMIFS(Payments!$H:$H,Payments!$L:$L,"="&amp;$B62,Payments!$Q:$Q,"&gt;="&amp;D$4,Payments!$Q:$Q,"&lt;"&amp;EDATE(D$4,1)))</f>
        <v/>
      </c>
      <c r="E62" s="116" t="str">
        <f>IF(SUMIFS(Payments!$H:$H,Payments!$L:$L,"="&amp;$B62,Payments!$Q:$Q,"&gt;="&amp;E$4,Payments!$Q:$Q,"&lt;"&amp;EDATE(E$4,1))=0,"",
SUMIFS(Payments!$H:$H,Payments!$L:$L,"="&amp;$B62,Payments!$Q:$Q,"&gt;="&amp;E$4,Payments!$Q:$Q,"&lt;"&amp;EDATE(E$4,1)))</f>
        <v/>
      </c>
      <c r="F62" s="116" t="str">
        <f>IF(SUMIFS(Payments!$H:$H,Payments!$L:$L,"="&amp;$B62,Payments!$Q:$Q,"&gt;="&amp;F$4,Payments!$Q:$Q,"&lt;"&amp;EDATE(F$4,1))=0,"",
SUMIFS(Payments!$H:$H,Payments!$L:$L,"="&amp;$B62,Payments!$Q:$Q,"&gt;="&amp;F$4,Payments!$Q:$Q,"&lt;"&amp;EDATE(F$4,1)))</f>
        <v/>
      </c>
      <c r="G62" s="116" t="str">
        <f>IF(SUMIFS(Payments!$H:$H,Payments!$L:$L,"="&amp;$B62,Payments!$Q:$Q,"&gt;="&amp;G$4,Payments!$Q:$Q,"&lt;"&amp;EDATE(G$4,1))=0,"",
SUMIFS(Payments!$H:$H,Payments!$L:$L,"="&amp;$B62,Payments!$Q:$Q,"&gt;="&amp;G$4,Payments!$Q:$Q,"&lt;"&amp;EDATE(G$4,1)))</f>
        <v/>
      </c>
      <c r="H62" s="116" t="str">
        <f>IF(SUMIFS(Payments!$H:$H,Payments!$L:$L,"="&amp;$B62,Payments!$Q:$Q,"&gt;="&amp;H$4,Payments!$Q:$Q,"&lt;"&amp;EDATE(H$4,1))=0,"",
SUMIFS(Payments!$H:$H,Payments!$L:$L,"="&amp;$B62,Payments!$Q:$Q,"&gt;="&amp;H$4,Payments!$Q:$Q,"&lt;"&amp;EDATE(H$4,1)))</f>
        <v/>
      </c>
      <c r="I62" s="116" t="str">
        <f>IF(SUMIFS(Payments!$H:$H,Payments!$L:$L,"="&amp;$B62,Payments!$Q:$Q,"&gt;="&amp;I$4,Payments!$Q:$Q,"&lt;"&amp;EDATE(I$4,1))=0,"",
SUMIFS(Payments!$H:$H,Payments!$L:$L,"="&amp;$B62,Payments!$Q:$Q,"&gt;="&amp;I$4,Payments!$Q:$Q,"&lt;"&amp;EDATE(I$4,1)))</f>
        <v/>
      </c>
      <c r="J62" s="116" t="str">
        <f>IF(SUMIFS(Payments!$H:$H,Payments!$L:$L,"="&amp;$B62,Payments!$Q:$Q,"&gt;="&amp;J$4,Payments!$Q:$Q,"&lt;"&amp;EDATE(J$4,1))=0,"",
SUMIFS(Payments!$H:$H,Payments!$L:$L,"="&amp;$B62,Payments!$Q:$Q,"&gt;="&amp;J$4,Payments!$Q:$Q,"&lt;"&amp;EDATE(J$4,1)))</f>
        <v/>
      </c>
      <c r="K62" s="116" t="str">
        <f>IF(SUMIFS(Payments!$H:$H,Payments!$L:$L,"="&amp;$B62,Payments!$Q:$Q,"&gt;="&amp;K$4,Payments!$Q:$Q,"&lt;"&amp;EDATE(K$4,1))=0,"",
SUMIFS(Payments!$H:$H,Payments!$L:$L,"="&amp;$B62,Payments!$Q:$Q,"&gt;="&amp;K$4,Payments!$Q:$Q,"&lt;"&amp;EDATE(K$4,1)))</f>
        <v/>
      </c>
      <c r="L62" s="116" t="str">
        <f>IF(SUMIFS(Payments!$H:$H,Payments!$L:$L,"="&amp;$B62,Payments!$Q:$Q,"&gt;="&amp;L$4,Payments!$Q:$Q,"&lt;"&amp;EDATE(L$4,1))=0,"",
SUMIFS(Payments!$H:$H,Payments!$L:$L,"="&amp;$B62,Payments!$Q:$Q,"&gt;="&amp;L$4,Payments!$Q:$Q,"&lt;"&amp;EDATE(L$4,1)))</f>
        <v/>
      </c>
      <c r="M62" s="116" t="str">
        <f>IF(SUMIFS(Payments!$H:$H,Payments!$L:$L,"="&amp;$B62,Payments!$Q:$Q,"&gt;="&amp;M$4,Payments!$Q:$Q,"&lt;"&amp;EDATE(M$4,1))=0,"",
SUMIFS(Payments!$H:$H,Payments!$L:$L,"="&amp;$B62,Payments!$Q:$Q,"&gt;="&amp;M$4,Payments!$Q:$Q,"&lt;"&amp;EDATE(M$4,1)))</f>
        <v/>
      </c>
      <c r="N62" s="116" t="str">
        <f>IF(SUMIFS(Payments!$H:$H,Payments!$L:$L,"="&amp;$B62,Payments!$Q:$Q,"&gt;="&amp;N$4,Payments!$Q:$Q,"&lt;"&amp;EDATE(N$4,1))=0,"",
SUMIFS(Payments!$H:$H,Payments!$L:$L,"="&amp;$B62,Payments!$Q:$Q,"&gt;="&amp;N$4,Payments!$Q:$Q,"&lt;"&amp;EDATE(N$4,1)))</f>
        <v/>
      </c>
      <c r="O62" s="116">
        <f t="shared" si="48"/>
        <v>0</v>
      </c>
      <c r="P62" s="116">
        <f>SUMIFS(Payments!$H:$H,Payments!$L:L,"="&amp;$B62,Payments!$Q:$Q,"="&amp;"")</f>
        <v>0</v>
      </c>
      <c r="Q62" s="116">
        <f t="shared" si="49"/>
        <v>0</v>
      </c>
      <c r="R62" s="116">
        <f>VLOOKUP(B62,SETUP!H:K,4,FALSE)</f>
        <v>0</v>
      </c>
      <c r="S62" s="116">
        <f t="shared" si="50"/>
        <v>0</v>
      </c>
      <c r="T62" s="163">
        <f t="shared" si="47"/>
        <v>0</v>
      </c>
      <c r="U62" s="163">
        <f>IF(Q62=0,0,IF(AGAR!E$8=0,"No precept",Q62/AGAR!E$8))</f>
        <v>0</v>
      </c>
    </row>
    <row r="63" spans="2:21" s="150" customFormat="1" x14ac:dyDescent="0.3">
      <c r="B63" s="175" t="str">
        <f>SETUP!H51</f>
        <v>Spare Code</v>
      </c>
      <c r="C63" s="116" t="str">
        <f>IF(SUMIFS(Payments!$H:$H,Payments!$L:$L,"="&amp;$B63,Payments!$Q:$Q,"&gt;="&amp;C$4,Payments!$Q:$Q,"&lt;"&amp;EDATE(C$4,1))=0,"",
SUMIFS(Payments!$H:$H,Payments!$L:$L,"="&amp;$B63,Payments!$Q:$Q,"&gt;="&amp;C$4,Payments!$Q:$Q,"&lt;"&amp;EDATE(C$4,1)))</f>
        <v/>
      </c>
      <c r="D63" s="116" t="str">
        <f>IF(SUMIFS(Payments!$H:$H,Payments!$L:$L,"="&amp;$B63,Payments!$Q:$Q,"&gt;="&amp;D$4,Payments!$Q:$Q,"&lt;"&amp;EDATE(D$4,1))=0,"",
SUMIFS(Payments!$H:$H,Payments!$L:$L,"="&amp;$B63,Payments!$Q:$Q,"&gt;="&amp;D$4,Payments!$Q:$Q,"&lt;"&amp;EDATE(D$4,1)))</f>
        <v/>
      </c>
      <c r="E63" s="116" t="str">
        <f>IF(SUMIFS(Payments!$H:$H,Payments!$L:$L,"="&amp;$B63,Payments!$Q:$Q,"&gt;="&amp;E$4,Payments!$Q:$Q,"&lt;"&amp;EDATE(E$4,1))=0,"",
SUMIFS(Payments!$H:$H,Payments!$L:$L,"="&amp;$B63,Payments!$Q:$Q,"&gt;="&amp;E$4,Payments!$Q:$Q,"&lt;"&amp;EDATE(E$4,1)))</f>
        <v/>
      </c>
      <c r="F63" s="116" t="str">
        <f>IF(SUMIFS(Payments!$H:$H,Payments!$L:$L,"="&amp;$B63,Payments!$Q:$Q,"&gt;="&amp;F$4,Payments!$Q:$Q,"&lt;"&amp;EDATE(F$4,1))=0,"",
SUMIFS(Payments!$H:$H,Payments!$L:$L,"="&amp;$B63,Payments!$Q:$Q,"&gt;="&amp;F$4,Payments!$Q:$Q,"&lt;"&amp;EDATE(F$4,1)))</f>
        <v/>
      </c>
      <c r="G63" s="116" t="str">
        <f>IF(SUMIFS(Payments!$H:$H,Payments!$L:$L,"="&amp;$B63,Payments!$Q:$Q,"&gt;="&amp;G$4,Payments!$Q:$Q,"&lt;"&amp;EDATE(G$4,1))=0,"",
SUMIFS(Payments!$H:$H,Payments!$L:$L,"="&amp;$B63,Payments!$Q:$Q,"&gt;="&amp;G$4,Payments!$Q:$Q,"&lt;"&amp;EDATE(G$4,1)))</f>
        <v/>
      </c>
      <c r="H63" s="116" t="str">
        <f>IF(SUMIFS(Payments!$H:$H,Payments!$L:$L,"="&amp;$B63,Payments!$Q:$Q,"&gt;="&amp;H$4,Payments!$Q:$Q,"&lt;"&amp;EDATE(H$4,1))=0,"",
SUMIFS(Payments!$H:$H,Payments!$L:$L,"="&amp;$B63,Payments!$Q:$Q,"&gt;="&amp;H$4,Payments!$Q:$Q,"&lt;"&amp;EDATE(H$4,1)))</f>
        <v/>
      </c>
      <c r="I63" s="116" t="str">
        <f>IF(SUMIFS(Payments!$H:$H,Payments!$L:$L,"="&amp;$B63,Payments!$Q:$Q,"&gt;="&amp;I$4,Payments!$Q:$Q,"&lt;"&amp;EDATE(I$4,1))=0,"",
SUMIFS(Payments!$H:$H,Payments!$L:$L,"="&amp;$B63,Payments!$Q:$Q,"&gt;="&amp;I$4,Payments!$Q:$Q,"&lt;"&amp;EDATE(I$4,1)))</f>
        <v/>
      </c>
      <c r="J63" s="116" t="str">
        <f>IF(SUMIFS(Payments!$H:$H,Payments!$L:$L,"="&amp;$B63,Payments!$Q:$Q,"&gt;="&amp;J$4,Payments!$Q:$Q,"&lt;"&amp;EDATE(J$4,1))=0,"",
SUMIFS(Payments!$H:$H,Payments!$L:$L,"="&amp;$B63,Payments!$Q:$Q,"&gt;="&amp;J$4,Payments!$Q:$Q,"&lt;"&amp;EDATE(J$4,1)))</f>
        <v/>
      </c>
      <c r="K63" s="116" t="str">
        <f>IF(SUMIFS(Payments!$H:$H,Payments!$L:$L,"="&amp;$B63,Payments!$Q:$Q,"&gt;="&amp;K$4,Payments!$Q:$Q,"&lt;"&amp;EDATE(K$4,1))=0,"",
SUMIFS(Payments!$H:$H,Payments!$L:$L,"="&amp;$B63,Payments!$Q:$Q,"&gt;="&amp;K$4,Payments!$Q:$Q,"&lt;"&amp;EDATE(K$4,1)))</f>
        <v/>
      </c>
      <c r="L63" s="116" t="str">
        <f>IF(SUMIFS(Payments!$H:$H,Payments!$L:$L,"="&amp;$B63,Payments!$Q:$Q,"&gt;="&amp;L$4,Payments!$Q:$Q,"&lt;"&amp;EDATE(L$4,1))=0,"",
SUMIFS(Payments!$H:$H,Payments!$L:$L,"="&amp;$B63,Payments!$Q:$Q,"&gt;="&amp;L$4,Payments!$Q:$Q,"&lt;"&amp;EDATE(L$4,1)))</f>
        <v/>
      </c>
      <c r="M63" s="116" t="str">
        <f>IF(SUMIFS(Payments!$H:$H,Payments!$L:$L,"="&amp;$B63,Payments!$Q:$Q,"&gt;="&amp;M$4,Payments!$Q:$Q,"&lt;"&amp;EDATE(M$4,1))=0,"",
SUMIFS(Payments!$H:$H,Payments!$L:$L,"="&amp;$B63,Payments!$Q:$Q,"&gt;="&amp;M$4,Payments!$Q:$Q,"&lt;"&amp;EDATE(M$4,1)))</f>
        <v/>
      </c>
      <c r="N63" s="116" t="str">
        <f>IF(SUMIFS(Payments!$H:$H,Payments!$L:$L,"="&amp;$B63,Payments!$Q:$Q,"&gt;="&amp;N$4,Payments!$Q:$Q,"&lt;"&amp;EDATE(N$4,1))=0,"",
SUMIFS(Payments!$H:$H,Payments!$L:$L,"="&amp;$B63,Payments!$Q:$Q,"&gt;="&amp;N$4,Payments!$Q:$Q,"&lt;"&amp;EDATE(N$4,1)))</f>
        <v/>
      </c>
      <c r="O63" s="116">
        <f t="shared" si="48"/>
        <v>0</v>
      </c>
      <c r="P63" s="116">
        <f>SUMIFS(Payments!$H:$H,Payments!$L:L,"="&amp;$B63,Payments!$Q:$Q,"="&amp;"")</f>
        <v>0</v>
      </c>
      <c r="Q63" s="116">
        <f t="shared" si="49"/>
        <v>0</v>
      </c>
      <c r="R63" s="116">
        <f>VLOOKUP(B63,SETUP!H:K,4,FALSE)</f>
        <v>0</v>
      </c>
      <c r="S63" s="116">
        <f t="shared" si="50"/>
        <v>0</v>
      </c>
      <c r="T63" s="163">
        <f t="shared" si="47"/>
        <v>0</v>
      </c>
      <c r="U63" s="163">
        <f>IF(Q63=0,0,IF(AGAR!E$8=0,"No precept",Q63/AGAR!E$8))</f>
        <v>0</v>
      </c>
    </row>
    <row r="64" spans="2:21" s="150" customFormat="1" x14ac:dyDescent="0.3">
      <c r="B64" s="27" t="str">
        <f>"Total "&amp;B55</f>
        <v>Total Reserves</v>
      </c>
      <c r="C64" s="165">
        <f t="shared" ref="C64:U64" si="51">SUM(C56:C63)</f>
        <v>0</v>
      </c>
      <c r="D64" s="165">
        <f t="shared" si="51"/>
        <v>0</v>
      </c>
      <c r="E64" s="165">
        <f t="shared" si="51"/>
        <v>0</v>
      </c>
      <c r="F64" s="165">
        <f t="shared" si="51"/>
        <v>0</v>
      </c>
      <c r="G64" s="165">
        <f t="shared" si="51"/>
        <v>0</v>
      </c>
      <c r="H64" s="165">
        <f t="shared" si="51"/>
        <v>0</v>
      </c>
      <c r="I64" s="165">
        <f t="shared" si="51"/>
        <v>0</v>
      </c>
      <c r="J64" s="165">
        <f t="shared" si="51"/>
        <v>0</v>
      </c>
      <c r="K64" s="165">
        <f t="shared" si="51"/>
        <v>0</v>
      </c>
      <c r="L64" s="165">
        <f t="shared" si="51"/>
        <v>0</v>
      </c>
      <c r="M64" s="165">
        <f t="shared" si="51"/>
        <v>0</v>
      </c>
      <c r="N64" s="165">
        <f t="shared" si="51"/>
        <v>0</v>
      </c>
      <c r="O64" s="165">
        <f t="shared" si="51"/>
        <v>0</v>
      </c>
      <c r="P64" s="165">
        <f t="shared" si="51"/>
        <v>0</v>
      </c>
      <c r="Q64" s="165">
        <f t="shared" si="51"/>
        <v>0</v>
      </c>
      <c r="R64" s="165">
        <f t="shared" si="51"/>
        <v>63320</v>
      </c>
      <c r="S64" s="165">
        <f t="shared" si="51"/>
        <v>63320</v>
      </c>
      <c r="T64" s="166">
        <f t="shared" si="51"/>
        <v>0</v>
      </c>
      <c r="U64" s="166">
        <f t="shared" si="51"/>
        <v>0</v>
      </c>
    </row>
    <row r="66" spans="2:21" x14ac:dyDescent="0.3">
      <c r="B66" s="174" t="str">
        <f>SETUP!H52</f>
        <v>Events</v>
      </c>
      <c r="C66" s="160" t="str">
        <f>IF(SUMIFS(Payments!$H:$H,Payments!$L:$L,"="&amp;$B66,Payments!$Q:$Q,"&gt;="&amp;C$4,Payments!$Q:$Q,"&lt;"&amp;EDATE(C$4,1))=0,"",
SUMIFS(Payments!$H:$H,Payments!$L:$L,"="&amp;$B66,Payments!$Q:$Q,"&gt;="&amp;C$4,Payments!$Q:$Q,"&lt;"&amp;EDATE(C$4,1)))</f>
        <v/>
      </c>
      <c r="D66" s="160" t="str">
        <f>IF(SUMIFS(Payments!$H:$H,Payments!$L:$L,"="&amp;$B66,Payments!$Q:$Q,"&gt;="&amp;D$4,Payments!$Q:$Q,"&lt;"&amp;EDATE(D$4,1))=0,"",
SUMIFS(Payments!$H:$H,Payments!$L:$L,"="&amp;$B66,Payments!$Q:$Q,"&gt;="&amp;D$4,Payments!$Q:$Q,"&lt;"&amp;EDATE(D$4,1)))</f>
        <v/>
      </c>
      <c r="E66" s="160" t="str">
        <f>IF(SUMIFS(Payments!$H:$H,Payments!$L:$L,"="&amp;$B66,Payments!$Q:$Q,"&gt;="&amp;E$4,Payments!$Q:$Q,"&lt;"&amp;EDATE(E$4,1))=0,"",
SUMIFS(Payments!$H:$H,Payments!$L:$L,"="&amp;$B66,Payments!$Q:$Q,"&gt;="&amp;E$4,Payments!$Q:$Q,"&lt;"&amp;EDATE(E$4,1)))</f>
        <v/>
      </c>
      <c r="F66" s="160" t="str">
        <f>IF(SUMIFS(Payments!$H:$H,Payments!$L:$L,"="&amp;$B66,Payments!$Q:$Q,"&gt;="&amp;F$4,Payments!$Q:$Q,"&lt;"&amp;EDATE(F$4,1))=0,"",
SUMIFS(Payments!$H:$H,Payments!$L:$L,"="&amp;$B66,Payments!$Q:$Q,"&gt;="&amp;F$4,Payments!$Q:$Q,"&lt;"&amp;EDATE(F$4,1)))</f>
        <v/>
      </c>
      <c r="G66" s="160" t="str">
        <f>IF(SUMIFS(Payments!$H:$H,Payments!$L:$L,"="&amp;$B66,Payments!$Q:$Q,"&gt;="&amp;G$4,Payments!$Q:$Q,"&lt;"&amp;EDATE(G$4,1))=0,"",
SUMIFS(Payments!$H:$H,Payments!$L:$L,"="&amp;$B66,Payments!$Q:$Q,"&gt;="&amp;G$4,Payments!$Q:$Q,"&lt;"&amp;EDATE(G$4,1)))</f>
        <v/>
      </c>
      <c r="H66" s="160" t="str">
        <f>IF(SUMIFS(Payments!$H:$H,Payments!$L:$L,"="&amp;$B66,Payments!$Q:$Q,"&gt;="&amp;H$4,Payments!$Q:$Q,"&lt;"&amp;EDATE(H$4,1))=0,"",
SUMIFS(Payments!$H:$H,Payments!$L:$L,"="&amp;$B66,Payments!$Q:$Q,"&gt;="&amp;H$4,Payments!$Q:$Q,"&lt;"&amp;EDATE(H$4,1)))</f>
        <v/>
      </c>
      <c r="I66" s="160" t="str">
        <f>IF(SUMIFS(Payments!$H:$H,Payments!$L:$L,"="&amp;$B66,Payments!$Q:$Q,"&gt;="&amp;I$4,Payments!$Q:$Q,"&lt;"&amp;EDATE(I$4,1))=0,"",
SUMIFS(Payments!$H:$H,Payments!$L:$L,"="&amp;$B66,Payments!$Q:$Q,"&gt;="&amp;I$4,Payments!$Q:$Q,"&lt;"&amp;EDATE(I$4,1)))</f>
        <v/>
      </c>
      <c r="J66" s="160" t="str">
        <f>IF(SUMIFS(Payments!$H:$H,Payments!$L:$L,"="&amp;$B66,Payments!$Q:$Q,"&gt;="&amp;J$4,Payments!$Q:$Q,"&lt;"&amp;EDATE(J$4,1))=0,"",
SUMIFS(Payments!$H:$H,Payments!$L:$L,"="&amp;$B66,Payments!$Q:$Q,"&gt;="&amp;J$4,Payments!$Q:$Q,"&lt;"&amp;EDATE(J$4,1)))</f>
        <v/>
      </c>
      <c r="K66" s="160" t="str">
        <f>IF(SUMIFS(Payments!$H:$H,Payments!$L:$L,"="&amp;$B66,Payments!$Q:$Q,"&gt;="&amp;K$4,Payments!$Q:$Q,"&lt;"&amp;EDATE(K$4,1))=0,"",
SUMIFS(Payments!$H:$H,Payments!$L:$L,"="&amp;$B66,Payments!$Q:$Q,"&gt;="&amp;K$4,Payments!$Q:$Q,"&lt;"&amp;EDATE(K$4,1)))</f>
        <v/>
      </c>
      <c r="L66" s="160" t="str">
        <f>IF(SUMIFS(Payments!$H:$H,Payments!$L:$L,"="&amp;$B66,Payments!$Q:$Q,"&gt;="&amp;L$4,Payments!$Q:$Q,"&lt;"&amp;EDATE(L$4,1))=0,"",
SUMIFS(Payments!$H:$H,Payments!$L:$L,"="&amp;$B66,Payments!$Q:$Q,"&gt;="&amp;L$4,Payments!$Q:$Q,"&lt;"&amp;EDATE(L$4,1)))</f>
        <v/>
      </c>
      <c r="M66" s="160" t="str">
        <f>IF(SUMIFS(Payments!$H:$H,Payments!$L:$L,"="&amp;$B66,Payments!$Q:$Q,"&gt;="&amp;M$4,Payments!$Q:$Q,"&lt;"&amp;EDATE(M$4,1))=0,"",
SUMIFS(Payments!$H:$H,Payments!$L:$L,"="&amp;$B66,Payments!$Q:$Q,"&gt;="&amp;M$4,Payments!$Q:$Q,"&lt;"&amp;EDATE(M$4,1)))</f>
        <v/>
      </c>
      <c r="N66" s="160" t="str">
        <f>IF(SUMIFS(Payments!$H:$H,Payments!$L:$L,"="&amp;$B66,Payments!$Q:$Q,"&gt;="&amp;N$4,Payments!$Q:$Q,"&lt;"&amp;EDATE(N$4,1))=0,"",
SUMIFS(Payments!$H:$H,Payments!$L:$L,"="&amp;$B66,Payments!$Q:$Q,"&gt;="&amp;N$4,Payments!$Q:$Q,"&lt;"&amp;EDATE(N$4,1)))</f>
        <v/>
      </c>
      <c r="O66" s="160"/>
      <c r="P66" s="160"/>
      <c r="Q66" s="160"/>
      <c r="R66" s="160"/>
      <c r="S66" s="160"/>
      <c r="T66" s="161"/>
      <c r="U66" s="162"/>
    </row>
    <row r="67" spans="2:21" x14ac:dyDescent="0.3">
      <c r="B67" s="175" t="str">
        <f>SETUP!H53</f>
        <v>Annual</v>
      </c>
      <c r="C67" s="116">
        <f>IF(SUMIFS(Payments!$H:$H,Payments!$L:$L,"="&amp;$B67,Payments!$Q:$Q,"&gt;="&amp;C$4,Payments!$Q:$Q,"&lt;"&amp;EDATE(C$4,1))=0,"",
SUMIFS(Payments!$H:$H,Payments!$L:$L,"="&amp;$B67,Payments!$Q:$Q,"&gt;="&amp;C$4,Payments!$Q:$Q,"&lt;"&amp;EDATE(C$4,1)))</f>
        <v>48.499999999999993</v>
      </c>
      <c r="D67" s="164">
        <f>IF(SUMIFS(Payments!$H:$H,Payments!$L:$L,"="&amp;$B67,Payments!$Q:$Q,"&gt;="&amp;D$4,Payments!$Q:$Q,"&lt;"&amp;EDATE(D$4,1))=0,"",
SUMIFS(Payments!$H:$H,Payments!$L:$L,"="&amp;$B67,Payments!$Q:$Q,"&gt;="&amp;D$4,Payments!$Q:$Q,"&lt;"&amp;EDATE(D$4,1)))</f>
        <v>35.32</v>
      </c>
      <c r="E67" s="116" t="str">
        <f>IF(SUMIFS(Payments!$H:$H,Payments!$L:$L,"="&amp;$B67,Payments!$Q:$Q,"&gt;="&amp;E$4,Payments!$Q:$Q,"&lt;"&amp;EDATE(E$4,1))=0,"",
SUMIFS(Payments!$H:$H,Payments!$L:$L,"="&amp;$B67,Payments!$Q:$Q,"&gt;="&amp;E$4,Payments!$Q:$Q,"&lt;"&amp;EDATE(E$4,1)))</f>
        <v/>
      </c>
      <c r="F67" s="116" t="str">
        <f>IF(SUMIFS(Payments!$H:$H,Payments!$L:$L,"="&amp;$B67,Payments!$Q:$Q,"&gt;="&amp;F$4,Payments!$Q:$Q,"&lt;"&amp;EDATE(F$4,1))=0,"",
SUMIFS(Payments!$H:$H,Payments!$L:$L,"="&amp;$B67,Payments!$Q:$Q,"&gt;="&amp;F$4,Payments!$Q:$Q,"&lt;"&amp;EDATE(F$4,1)))</f>
        <v/>
      </c>
      <c r="G67" s="116" t="str">
        <f>IF(SUMIFS(Payments!$H:$H,Payments!$L:$L,"="&amp;$B67,Payments!$Q:$Q,"&gt;="&amp;G$4,Payments!$Q:$Q,"&lt;"&amp;EDATE(G$4,1))=0,"",
SUMIFS(Payments!$H:$H,Payments!$L:$L,"="&amp;$B67,Payments!$Q:$Q,"&gt;="&amp;G$4,Payments!$Q:$Q,"&lt;"&amp;EDATE(G$4,1)))</f>
        <v/>
      </c>
      <c r="H67" s="116" t="str">
        <f>IF(SUMIFS(Payments!$H:$H,Payments!$L:$L,"="&amp;$B67,Payments!$Q:$Q,"&gt;="&amp;H$4,Payments!$Q:$Q,"&lt;"&amp;EDATE(H$4,1))=0,"",
SUMIFS(Payments!$H:$H,Payments!$L:$L,"="&amp;$B67,Payments!$Q:$Q,"&gt;="&amp;H$4,Payments!$Q:$Q,"&lt;"&amp;EDATE(H$4,1)))</f>
        <v/>
      </c>
      <c r="I67" s="116" t="str">
        <f>IF(SUMIFS(Payments!$H:$H,Payments!$L:$L,"="&amp;$B67,Payments!$Q:$Q,"&gt;="&amp;I$4,Payments!$Q:$Q,"&lt;"&amp;EDATE(I$4,1))=0,"",
SUMIFS(Payments!$H:$H,Payments!$L:$L,"="&amp;$B67,Payments!$Q:$Q,"&gt;="&amp;I$4,Payments!$Q:$Q,"&lt;"&amp;EDATE(I$4,1)))</f>
        <v/>
      </c>
      <c r="J67" s="116" t="str">
        <f>IF(SUMIFS(Payments!$H:$H,Payments!$L:$L,"="&amp;$B67,Payments!$Q:$Q,"&gt;="&amp;J$4,Payments!$Q:$Q,"&lt;"&amp;EDATE(J$4,1))=0,"",
SUMIFS(Payments!$H:$H,Payments!$L:$L,"="&amp;$B67,Payments!$Q:$Q,"&gt;="&amp;J$4,Payments!$Q:$Q,"&lt;"&amp;EDATE(J$4,1)))</f>
        <v/>
      </c>
      <c r="K67" s="116" t="str">
        <f>IF(SUMIFS(Payments!$H:$H,Payments!$L:$L,"="&amp;$B67,Payments!$Q:$Q,"&gt;="&amp;K$4,Payments!$Q:$Q,"&lt;"&amp;EDATE(K$4,1))=0,"",
SUMIFS(Payments!$H:$H,Payments!$L:$L,"="&amp;$B67,Payments!$Q:$Q,"&gt;="&amp;K$4,Payments!$Q:$Q,"&lt;"&amp;EDATE(K$4,1)))</f>
        <v/>
      </c>
      <c r="L67" s="116" t="str">
        <f>IF(SUMIFS(Payments!$H:$H,Payments!$L:$L,"="&amp;$B67,Payments!$Q:$Q,"&gt;="&amp;L$4,Payments!$Q:$Q,"&lt;"&amp;EDATE(L$4,1))=0,"",
SUMIFS(Payments!$H:$H,Payments!$L:$L,"="&amp;$B67,Payments!$Q:$Q,"&gt;="&amp;L$4,Payments!$Q:$Q,"&lt;"&amp;EDATE(L$4,1)))</f>
        <v/>
      </c>
      <c r="M67" s="116" t="str">
        <f>IF(SUMIFS(Payments!$H:$H,Payments!$L:$L,"="&amp;$B67,Payments!$Q:$Q,"&gt;="&amp;M$4,Payments!$Q:$Q,"&lt;"&amp;EDATE(M$4,1))=0,"",
SUMIFS(Payments!$H:$H,Payments!$L:$L,"="&amp;$B67,Payments!$Q:$Q,"&gt;="&amp;M$4,Payments!$Q:$Q,"&lt;"&amp;EDATE(M$4,1)))</f>
        <v/>
      </c>
      <c r="N67" s="116" t="str">
        <f>IF(SUMIFS(Payments!$H:$H,Payments!$L:$L,"="&amp;$B67,Payments!$Q:$Q,"&gt;="&amp;N$4,Payments!$Q:$Q,"&lt;"&amp;EDATE(N$4,1))=0,"",
SUMIFS(Payments!$H:$H,Payments!$L:$L,"="&amp;$B67,Payments!$Q:$Q,"&gt;="&amp;N$4,Payments!$Q:$Q,"&lt;"&amp;EDATE(N$4,1)))</f>
        <v/>
      </c>
      <c r="O67" s="116">
        <f t="shared" si="26"/>
        <v>83.82</v>
      </c>
      <c r="P67" s="116">
        <f>SUMIFS(Payments!$H:$H,Payments!$L:L,"="&amp;$B67,Payments!$Q:$Q,"="&amp;"")</f>
        <v>0</v>
      </c>
      <c r="Q67" s="116">
        <f t="shared" si="27"/>
        <v>83.82</v>
      </c>
      <c r="R67" s="116">
        <f>VLOOKUP(B67,SETUP!H:K,4,FALSE)</f>
        <v>1000</v>
      </c>
      <c r="S67" s="116">
        <f t="shared" si="28"/>
        <v>916.18000000000006</v>
      </c>
      <c r="T67" s="163">
        <f>IF(Q67=0,0,Q67/Q$86)</f>
        <v>2.1177528171645614E-3</v>
      </c>
      <c r="U67" s="163">
        <f>IF(Q67=0,0,IF(AGAR!E$8=0,"No precept",Q67/AGAR!E$8))</f>
        <v>5.3829802264422362E-4</v>
      </c>
    </row>
    <row r="68" spans="2:21" x14ac:dyDescent="0.3">
      <c r="B68" s="175" t="str">
        <f>SETUP!H54</f>
        <v>Spare Code</v>
      </c>
      <c r="C68" s="116" t="str">
        <f>IF(SUMIFS(Payments!$H:$H,Payments!$L:$L,"="&amp;$B68,Payments!$Q:$Q,"&gt;="&amp;C$4,Payments!$Q:$Q,"&lt;"&amp;EDATE(C$4,1))=0,"",
SUMIFS(Payments!$H:$H,Payments!$L:$L,"="&amp;$B68,Payments!$Q:$Q,"&gt;="&amp;C$4,Payments!$Q:$Q,"&lt;"&amp;EDATE(C$4,1)))</f>
        <v/>
      </c>
      <c r="D68" s="116" t="str">
        <f>IF(SUMIFS(Payments!$H:$H,Payments!$L:$L,"="&amp;$B68,Payments!$Q:$Q,"&gt;="&amp;D$4,Payments!$Q:$Q,"&lt;"&amp;EDATE(D$4,1))=0,"",
SUMIFS(Payments!$H:$H,Payments!$L:$L,"="&amp;$B68,Payments!$Q:$Q,"&gt;="&amp;D$4,Payments!$Q:$Q,"&lt;"&amp;EDATE(D$4,1)))</f>
        <v/>
      </c>
      <c r="E68" s="116" t="str">
        <f>IF(SUMIFS(Payments!$H:$H,Payments!$L:$L,"="&amp;$B68,Payments!$Q:$Q,"&gt;="&amp;E$4,Payments!$Q:$Q,"&lt;"&amp;EDATE(E$4,1))=0,"",
SUMIFS(Payments!$H:$H,Payments!$L:$L,"="&amp;$B68,Payments!$Q:$Q,"&gt;="&amp;E$4,Payments!$Q:$Q,"&lt;"&amp;EDATE(E$4,1)))</f>
        <v/>
      </c>
      <c r="F68" s="116" t="str">
        <f>IF(SUMIFS(Payments!$H:$H,Payments!$L:$L,"="&amp;$B68,Payments!$Q:$Q,"&gt;="&amp;F$4,Payments!$Q:$Q,"&lt;"&amp;EDATE(F$4,1))=0,"",
SUMIFS(Payments!$H:$H,Payments!$L:$L,"="&amp;$B68,Payments!$Q:$Q,"&gt;="&amp;F$4,Payments!$Q:$Q,"&lt;"&amp;EDATE(F$4,1)))</f>
        <v/>
      </c>
      <c r="G68" s="116" t="str">
        <f>IF(SUMIFS(Payments!$H:$H,Payments!$L:$L,"="&amp;$B68,Payments!$Q:$Q,"&gt;="&amp;G$4,Payments!$Q:$Q,"&lt;"&amp;EDATE(G$4,1))=0,"",
SUMIFS(Payments!$H:$H,Payments!$L:$L,"="&amp;$B68,Payments!$Q:$Q,"&gt;="&amp;G$4,Payments!$Q:$Q,"&lt;"&amp;EDATE(G$4,1)))</f>
        <v/>
      </c>
      <c r="H68" s="116" t="str">
        <f>IF(SUMIFS(Payments!$H:$H,Payments!$L:$L,"="&amp;$B68,Payments!$Q:$Q,"&gt;="&amp;H$4,Payments!$Q:$Q,"&lt;"&amp;EDATE(H$4,1))=0,"",
SUMIFS(Payments!$H:$H,Payments!$L:$L,"="&amp;$B68,Payments!$Q:$Q,"&gt;="&amp;H$4,Payments!$Q:$Q,"&lt;"&amp;EDATE(H$4,1)))</f>
        <v/>
      </c>
      <c r="I68" s="116" t="str">
        <f>IF(SUMIFS(Payments!$H:$H,Payments!$L:$L,"="&amp;$B68,Payments!$Q:$Q,"&gt;="&amp;I$4,Payments!$Q:$Q,"&lt;"&amp;EDATE(I$4,1))=0,"",
SUMIFS(Payments!$H:$H,Payments!$L:$L,"="&amp;$B68,Payments!$Q:$Q,"&gt;="&amp;I$4,Payments!$Q:$Q,"&lt;"&amp;EDATE(I$4,1)))</f>
        <v/>
      </c>
      <c r="J68" s="116" t="str">
        <f>IF(SUMIFS(Payments!$H:$H,Payments!$L:$L,"="&amp;$B68,Payments!$Q:$Q,"&gt;="&amp;J$4,Payments!$Q:$Q,"&lt;"&amp;EDATE(J$4,1))=0,"",
SUMIFS(Payments!$H:$H,Payments!$L:$L,"="&amp;$B68,Payments!$Q:$Q,"&gt;="&amp;J$4,Payments!$Q:$Q,"&lt;"&amp;EDATE(J$4,1)))</f>
        <v/>
      </c>
      <c r="K68" s="116" t="str">
        <f>IF(SUMIFS(Payments!$H:$H,Payments!$L:$L,"="&amp;$B68,Payments!$Q:$Q,"&gt;="&amp;K$4,Payments!$Q:$Q,"&lt;"&amp;EDATE(K$4,1))=0,"",
SUMIFS(Payments!$H:$H,Payments!$L:$L,"="&amp;$B68,Payments!$Q:$Q,"&gt;="&amp;K$4,Payments!$Q:$Q,"&lt;"&amp;EDATE(K$4,1)))</f>
        <v/>
      </c>
      <c r="L68" s="116" t="str">
        <f>IF(SUMIFS(Payments!$H:$H,Payments!$L:$L,"="&amp;$B68,Payments!$Q:$Q,"&gt;="&amp;L$4,Payments!$Q:$Q,"&lt;"&amp;EDATE(L$4,1))=0,"",
SUMIFS(Payments!$H:$H,Payments!$L:$L,"="&amp;$B68,Payments!$Q:$Q,"&gt;="&amp;L$4,Payments!$Q:$Q,"&lt;"&amp;EDATE(L$4,1)))</f>
        <v/>
      </c>
      <c r="M68" s="116" t="str">
        <f>IF(SUMIFS(Payments!$H:$H,Payments!$L:$L,"="&amp;$B68,Payments!$Q:$Q,"&gt;="&amp;M$4,Payments!$Q:$Q,"&lt;"&amp;EDATE(M$4,1))=0,"",
SUMIFS(Payments!$H:$H,Payments!$L:$L,"="&amp;$B68,Payments!$Q:$Q,"&gt;="&amp;M$4,Payments!$Q:$Q,"&lt;"&amp;EDATE(M$4,1)))</f>
        <v/>
      </c>
      <c r="N68" s="116" t="str">
        <f>IF(SUMIFS(Payments!$H:$H,Payments!$L:$L,"="&amp;$B68,Payments!$Q:$Q,"&gt;="&amp;N$4,Payments!$Q:$Q,"&lt;"&amp;EDATE(N$4,1))=0,"",
SUMIFS(Payments!$H:$H,Payments!$L:$L,"="&amp;$B68,Payments!$Q:$Q,"&gt;="&amp;N$4,Payments!$Q:$Q,"&lt;"&amp;EDATE(N$4,1)))</f>
        <v/>
      </c>
      <c r="O68" s="116">
        <f t="shared" ref="O68:O69" si="52">SUM(C68:N68)</f>
        <v>0</v>
      </c>
      <c r="P68" s="116">
        <f>SUMIFS(Payments!$H:$H,Payments!$L:L,"="&amp;$B68,Payments!$Q:$Q,"="&amp;"")</f>
        <v>0</v>
      </c>
      <c r="Q68" s="116">
        <f t="shared" ref="Q68:Q69" si="53">SUM(O68:P68)</f>
        <v>0</v>
      </c>
      <c r="R68" s="116">
        <f>VLOOKUP(B68,SETUP!H:K,4,FALSE)</f>
        <v>0</v>
      </c>
      <c r="S68" s="116">
        <f t="shared" ref="S68:S69" si="54">R68-Q68</f>
        <v>0</v>
      </c>
      <c r="T68" s="163">
        <f t="shared" ref="T68:T69" si="55">IF(Q68=0,0,Q68/Q$86)</f>
        <v>0</v>
      </c>
      <c r="U68" s="163">
        <f>IF(Q68=0,0,IF(AGAR!E$8=0,"No precept",Q68/AGAR!E$8))</f>
        <v>0</v>
      </c>
    </row>
    <row r="69" spans="2:21" x14ac:dyDescent="0.3">
      <c r="B69" s="175" t="str">
        <f>SETUP!H55</f>
        <v>Spare Code</v>
      </c>
      <c r="C69" s="116" t="str">
        <f>IF(SUMIFS(Payments!$H:$H,Payments!$L:$L,"="&amp;$B69,Payments!$Q:$Q,"&gt;="&amp;C$4,Payments!$Q:$Q,"&lt;"&amp;EDATE(C$4,1))=0,"",
SUMIFS(Payments!$H:$H,Payments!$L:$L,"="&amp;$B69,Payments!$Q:$Q,"&gt;="&amp;C$4,Payments!$Q:$Q,"&lt;"&amp;EDATE(C$4,1)))</f>
        <v/>
      </c>
      <c r="D69" s="116" t="str">
        <f>IF(SUMIFS(Payments!$H:$H,Payments!$L:$L,"="&amp;$B69,Payments!$Q:$Q,"&gt;="&amp;D$4,Payments!$Q:$Q,"&lt;"&amp;EDATE(D$4,1))=0,"",
SUMIFS(Payments!$H:$H,Payments!$L:$L,"="&amp;$B69,Payments!$Q:$Q,"&gt;="&amp;D$4,Payments!$Q:$Q,"&lt;"&amp;EDATE(D$4,1)))</f>
        <v/>
      </c>
      <c r="E69" s="116" t="str">
        <f>IF(SUMIFS(Payments!$H:$H,Payments!$L:$L,"="&amp;$B69,Payments!$Q:$Q,"&gt;="&amp;E$4,Payments!$Q:$Q,"&lt;"&amp;EDATE(E$4,1))=0,"",
SUMIFS(Payments!$H:$H,Payments!$L:$L,"="&amp;$B69,Payments!$Q:$Q,"&gt;="&amp;E$4,Payments!$Q:$Q,"&lt;"&amp;EDATE(E$4,1)))</f>
        <v/>
      </c>
      <c r="F69" s="116" t="str">
        <f>IF(SUMIFS(Payments!$H:$H,Payments!$L:$L,"="&amp;$B69,Payments!$Q:$Q,"&gt;="&amp;F$4,Payments!$Q:$Q,"&lt;"&amp;EDATE(F$4,1))=0,"",
SUMIFS(Payments!$H:$H,Payments!$L:$L,"="&amp;$B69,Payments!$Q:$Q,"&gt;="&amp;F$4,Payments!$Q:$Q,"&lt;"&amp;EDATE(F$4,1)))</f>
        <v/>
      </c>
      <c r="G69" s="116" t="str">
        <f>IF(SUMIFS(Payments!$H:$H,Payments!$L:$L,"="&amp;$B69,Payments!$Q:$Q,"&gt;="&amp;G$4,Payments!$Q:$Q,"&lt;"&amp;EDATE(G$4,1))=0,"",
SUMIFS(Payments!$H:$H,Payments!$L:$L,"="&amp;$B69,Payments!$Q:$Q,"&gt;="&amp;G$4,Payments!$Q:$Q,"&lt;"&amp;EDATE(G$4,1)))</f>
        <v/>
      </c>
      <c r="H69" s="116" t="str">
        <f>IF(SUMIFS(Payments!$H:$H,Payments!$L:$L,"="&amp;$B69,Payments!$Q:$Q,"&gt;="&amp;H$4,Payments!$Q:$Q,"&lt;"&amp;EDATE(H$4,1))=0,"",
SUMIFS(Payments!$H:$H,Payments!$L:$L,"="&amp;$B69,Payments!$Q:$Q,"&gt;="&amp;H$4,Payments!$Q:$Q,"&lt;"&amp;EDATE(H$4,1)))</f>
        <v/>
      </c>
      <c r="I69" s="116" t="str">
        <f>IF(SUMIFS(Payments!$H:$H,Payments!$L:$L,"="&amp;$B69,Payments!$Q:$Q,"&gt;="&amp;I$4,Payments!$Q:$Q,"&lt;"&amp;EDATE(I$4,1))=0,"",
SUMIFS(Payments!$H:$H,Payments!$L:$L,"="&amp;$B69,Payments!$Q:$Q,"&gt;="&amp;I$4,Payments!$Q:$Q,"&lt;"&amp;EDATE(I$4,1)))</f>
        <v/>
      </c>
      <c r="J69" s="116" t="str">
        <f>IF(SUMIFS(Payments!$H:$H,Payments!$L:$L,"="&amp;$B69,Payments!$Q:$Q,"&gt;="&amp;J$4,Payments!$Q:$Q,"&lt;"&amp;EDATE(J$4,1))=0,"",
SUMIFS(Payments!$H:$H,Payments!$L:$L,"="&amp;$B69,Payments!$Q:$Q,"&gt;="&amp;J$4,Payments!$Q:$Q,"&lt;"&amp;EDATE(J$4,1)))</f>
        <v/>
      </c>
      <c r="K69" s="116" t="str">
        <f>IF(SUMIFS(Payments!$H:$H,Payments!$L:$L,"="&amp;$B69,Payments!$Q:$Q,"&gt;="&amp;K$4,Payments!$Q:$Q,"&lt;"&amp;EDATE(K$4,1))=0,"",
SUMIFS(Payments!$H:$H,Payments!$L:$L,"="&amp;$B69,Payments!$Q:$Q,"&gt;="&amp;K$4,Payments!$Q:$Q,"&lt;"&amp;EDATE(K$4,1)))</f>
        <v/>
      </c>
      <c r="L69" s="116" t="str">
        <f>IF(SUMIFS(Payments!$H:$H,Payments!$L:$L,"="&amp;$B69,Payments!$Q:$Q,"&gt;="&amp;L$4,Payments!$Q:$Q,"&lt;"&amp;EDATE(L$4,1))=0,"",
SUMIFS(Payments!$H:$H,Payments!$L:$L,"="&amp;$B69,Payments!$Q:$Q,"&gt;="&amp;L$4,Payments!$Q:$Q,"&lt;"&amp;EDATE(L$4,1)))</f>
        <v/>
      </c>
      <c r="M69" s="116" t="str">
        <f>IF(SUMIFS(Payments!$H:$H,Payments!$L:$L,"="&amp;$B69,Payments!$Q:$Q,"&gt;="&amp;M$4,Payments!$Q:$Q,"&lt;"&amp;EDATE(M$4,1))=0,"",
SUMIFS(Payments!$H:$H,Payments!$L:$L,"="&amp;$B69,Payments!$Q:$Q,"&gt;="&amp;M$4,Payments!$Q:$Q,"&lt;"&amp;EDATE(M$4,1)))</f>
        <v/>
      </c>
      <c r="N69" s="116" t="str">
        <f>IF(SUMIFS(Payments!$H:$H,Payments!$L:$L,"="&amp;$B69,Payments!$Q:$Q,"&gt;="&amp;N$4,Payments!$Q:$Q,"&lt;"&amp;EDATE(N$4,1))=0,"",
SUMIFS(Payments!$H:$H,Payments!$L:$L,"="&amp;$B69,Payments!$Q:$Q,"&gt;="&amp;N$4,Payments!$Q:$Q,"&lt;"&amp;EDATE(N$4,1)))</f>
        <v/>
      </c>
      <c r="O69" s="116">
        <f t="shared" si="52"/>
        <v>0</v>
      </c>
      <c r="P69" s="116">
        <f>SUMIFS(Payments!$H:$H,Payments!$L:L,"="&amp;$B69,Payments!$Q:$Q,"="&amp;"")</f>
        <v>0</v>
      </c>
      <c r="Q69" s="116">
        <f t="shared" si="53"/>
        <v>0</v>
      </c>
      <c r="R69" s="116">
        <f>VLOOKUP(B69,SETUP!H:K,4,FALSE)</f>
        <v>0</v>
      </c>
      <c r="S69" s="116">
        <f t="shared" si="54"/>
        <v>0</v>
      </c>
      <c r="T69" s="163">
        <f t="shared" si="55"/>
        <v>0</v>
      </c>
      <c r="U69" s="163">
        <f>IF(Q69=0,0,IF(AGAR!E$8=0,"No precept",Q69/AGAR!E$8))</f>
        <v>0</v>
      </c>
    </row>
    <row r="70" spans="2:21" s="150" customFormat="1" x14ac:dyDescent="0.3">
      <c r="B70" s="27" t="str">
        <f>"Total "&amp;B66</f>
        <v>Total Events</v>
      </c>
      <c r="C70" s="165">
        <f>SUM(C67:C69)</f>
        <v>48.499999999999993</v>
      </c>
      <c r="D70" s="165">
        <f t="shared" ref="D70:U70" si="56">SUM(D67:D69)</f>
        <v>35.32</v>
      </c>
      <c r="E70" s="165">
        <f t="shared" si="56"/>
        <v>0</v>
      </c>
      <c r="F70" s="165">
        <f t="shared" si="56"/>
        <v>0</v>
      </c>
      <c r="G70" s="165">
        <f t="shared" si="56"/>
        <v>0</v>
      </c>
      <c r="H70" s="165">
        <f t="shared" si="56"/>
        <v>0</v>
      </c>
      <c r="I70" s="165">
        <f t="shared" si="56"/>
        <v>0</v>
      </c>
      <c r="J70" s="165">
        <f t="shared" si="56"/>
        <v>0</v>
      </c>
      <c r="K70" s="165">
        <f t="shared" si="56"/>
        <v>0</v>
      </c>
      <c r="L70" s="165">
        <f t="shared" si="56"/>
        <v>0</v>
      </c>
      <c r="M70" s="165">
        <f t="shared" si="56"/>
        <v>0</v>
      </c>
      <c r="N70" s="165">
        <f t="shared" si="56"/>
        <v>0</v>
      </c>
      <c r="O70" s="165">
        <f t="shared" si="56"/>
        <v>83.82</v>
      </c>
      <c r="P70" s="165">
        <f t="shared" si="56"/>
        <v>0</v>
      </c>
      <c r="Q70" s="165">
        <f t="shared" si="56"/>
        <v>83.82</v>
      </c>
      <c r="R70" s="165">
        <f t="shared" si="56"/>
        <v>1000</v>
      </c>
      <c r="S70" s="165">
        <f t="shared" si="56"/>
        <v>916.18000000000006</v>
      </c>
      <c r="T70" s="166">
        <f t="shared" si="56"/>
        <v>2.1177528171645614E-3</v>
      </c>
      <c r="U70" s="166">
        <f t="shared" si="56"/>
        <v>5.3829802264422362E-4</v>
      </c>
    </row>
    <row r="72" spans="2:21" x14ac:dyDescent="0.3">
      <c r="B72" s="174" t="str">
        <f>SETUP!H56</f>
        <v>Subscriptions</v>
      </c>
      <c r="C72" s="160" t="str">
        <f>IF(SUMIFS(Payments!$H:$H,Payments!$L:$L,"="&amp;$B72,Payments!$Q:$Q,"&gt;="&amp;C$4,Payments!$Q:$Q,"&lt;"&amp;EDATE(C$4,1))=0,"",
SUMIFS(Payments!$H:$H,Payments!$L:$L,"="&amp;$B72,Payments!$Q:$Q,"&gt;="&amp;C$4,Payments!$Q:$Q,"&lt;"&amp;EDATE(C$4,1)))</f>
        <v/>
      </c>
      <c r="D72" s="160" t="str">
        <f>IF(SUMIFS(Payments!$H:$H,Payments!$L:$L,"="&amp;$B72,Payments!$Q:$Q,"&gt;="&amp;D$4,Payments!$Q:$Q,"&lt;"&amp;EDATE(D$4,1))=0,"",
SUMIFS(Payments!$H:$H,Payments!$L:$L,"="&amp;$B72,Payments!$Q:$Q,"&gt;="&amp;D$4,Payments!$Q:$Q,"&lt;"&amp;EDATE(D$4,1)))</f>
        <v/>
      </c>
      <c r="E72" s="160" t="str">
        <f>IF(SUMIFS(Payments!$H:$H,Payments!$L:$L,"="&amp;$B72,Payments!$Q:$Q,"&gt;="&amp;E$4,Payments!$Q:$Q,"&lt;"&amp;EDATE(E$4,1))=0,"",
SUMIFS(Payments!$H:$H,Payments!$L:$L,"="&amp;$B72,Payments!$Q:$Q,"&gt;="&amp;E$4,Payments!$Q:$Q,"&lt;"&amp;EDATE(E$4,1)))</f>
        <v/>
      </c>
      <c r="F72" s="160" t="str">
        <f>IF(SUMIFS(Payments!$H:$H,Payments!$L:$L,"="&amp;$B72,Payments!$Q:$Q,"&gt;="&amp;F$4,Payments!$Q:$Q,"&lt;"&amp;EDATE(F$4,1))=0,"",
SUMIFS(Payments!$H:$H,Payments!$L:$L,"="&amp;$B72,Payments!$Q:$Q,"&gt;="&amp;F$4,Payments!$Q:$Q,"&lt;"&amp;EDATE(F$4,1)))</f>
        <v/>
      </c>
      <c r="G72" s="160" t="str">
        <f>IF(SUMIFS(Payments!$H:$H,Payments!$L:$L,"="&amp;$B72,Payments!$Q:$Q,"&gt;="&amp;G$4,Payments!$Q:$Q,"&lt;"&amp;EDATE(G$4,1))=0,"",
SUMIFS(Payments!$H:$H,Payments!$L:$L,"="&amp;$B72,Payments!$Q:$Q,"&gt;="&amp;G$4,Payments!$Q:$Q,"&lt;"&amp;EDATE(G$4,1)))</f>
        <v/>
      </c>
      <c r="H72" s="160" t="str">
        <f>IF(SUMIFS(Payments!$H:$H,Payments!$L:$L,"="&amp;$B72,Payments!$Q:$Q,"&gt;="&amp;H$4,Payments!$Q:$Q,"&lt;"&amp;EDATE(H$4,1))=0,"",
SUMIFS(Payments!$H:$H,Payments!$L:$L,"="&amp;$B72,Payments!$Q:$Q,"&gt;="&amp;H$4,Payments!$Q:$Q,"&lt;"&amp;EDATE(H$4,1)))</f>
        <v/>
      </c>
      <c r="I72" s="160" t="str">
        <f>IF(SUMIFS(Payments!$H:$H,Payments!$L:$L,"="&amp;$B72,Payments!$Q:$Q,"&gt;="&amp;I$4,Payments!$Q:$Q,"&lt;"&amp;EDATE(I$4,1))=0,"",
SUMIFS(Payments!$H:$H,Payments!$L:$L,"="&amp;$B72,Payments!$Q:$Q,"&gt;="&amp;I$4,Payments!$Q:$Q,"&lt;"&amp;EDATE(I$4,1)))</f>
        <v/>
      </c>
      <c r="J72" s="160" t="str">
        <f>IF(SUMIFS(Payments!$H:$H,Payments!$L:$L,"="&amp;$B72,Payments!$Q:$Q,"&gt;="&amp;J$4,Payments!$Q:$Q,"&lt;"&amp;EDATE(J$4,1))=0,"",
SUMIFS(Payments!$H:$H,Payments!$L:$L,"="&amp;$B72,Payments!$Q:$Q,"&gt;="&amp;J$4,Payments!$Q:$Q,"&lt;"&amp;EDATE(J$4,1)))</f>
        <v/>
      </c>
      <c r="K72" s="160" t="str">
        <f>IF(SUMIFS(Payments!$H:$H,Payments!$L:$L,"="&amp;$B72,Payments!$Q:$Q,"&gt;="&amp;K$4,Payments!$Q:$Q,"&lt;"&amp;EDATE(K$4,1))=0,"",
SUMIFS(Payments!$H:$H,Payments!$L:$L,"="&amp;$B72,Payments!$Q:$Q,"&gt;="&amp;K$4,Payments!$Q:$Q,"&lt;"&amp;EDATE(K$4,1)))</f>
        <v/>
      </c>
      <c r="L72" s="160" t="str">
        <f>IF(SUMIFS(Payments!$H:$H,Payments!$L:$L,"="&amp;$B72,Payments!$Q:$Q,"&gt;="&amp;L$4,Payments!$Q:$Q,"&lt;"&amp;EDATE(L$4,1))=0,"",
SUMIFS(Payments!$H:$H,Payments!$L:$L,"="&amp;$B72,Payments!$Q:$Q,"&gt;="&amp;L$4,Payments!$Q:$Q,"&lt;"&amp;EDATE(L$4,1)))</f>
        <v/>
      </c>
      <c r="M72" s="160" t="str">
        <f>IF(SUMIFS(Payments!$H:$H,Payments!$L:$L,"="&amp;$B72,Payments!$Q:$Q,"&gt;="&amp;M$4,Payments!$Q:$Q,"&lt;"&amp;EDATE(M$4,1))=0,"",
SUMIFS(Payments!$H:$H,Payments!$L:$L,"="&amp;$B72,Payments!$Q:$Q,"&gt;="&amp;M$4,Payments!$Q:$Q,"&lt;"&amp;EDATE(M$4,1)))</f>
        <v/>
      </c>
      <c r="N72" s="160" t="str">
        <f>IF(SUMIFS(Payments!$H:$H,Payments!$L:$L,"="&amp;$B72,Payments!$Q:$Q,"&gt;="&amp;N$4,Payments!$Q:$Q,"&lt;"&amp;EDATE(N$4,1))=0,"",
SUMIFS(Payments!$H:$H,Payments!$L:$L,"="&amp;$B72,Payments!$Q:$Q,"&gt;="&amp;N$4,Payments!$Q:$Q,"&lt;"&amp;EDATE(N$4,1)))</f>
        <v/>
      </c>
      <c r="O72" s="160"/>
      <c r="P72" s="160"/>
      <c r="Q72" s="160"/>
      <c r="R72" s="160"/>
      <c r="S72" s="160"/>
      <c r="T72" s="161"/>
      <c r="U72" s="162"/>
    </row>
    <row r="73" spans="2:21" x14ac:dyDescent="0.3">
      <c r="B73" s="175" t="str">
        <f>SETUP!H57</f>
        <v>CHALC</v>
      </c>
      <c r="C73" s="116" t="str">
        <f>IF(SUMIFS(Payments!$H:$H,Payments!$L:$L,"="&amp;$B73,Payments!$Q:$Q,"&gt;="&amp;C$4,Payments!$Q:$Q,"&lt;"&amp;EDATE(C$4,1))=0,"",
SUMIFS(Payments!$H:$H,Payments!$L:$L,"="&amp;$B73,Payments!$Q:$Q,"&gt;="&amp;C$4,Payments!$Q:$Q,"&lt;"&amp;EDATE(C$4,1)))</f>
        <v/>
      </c>
      <c r="D73" s="164" t="str">
        <f>IF(SUMIFS(Payments!$H:$H,Payments!$L:$L,"="&amp;$B73,Payments!$Q:$Q,"&gt;="&amp;D$4,Payments!$Q:$Q,"&lt;"&amp;EDATE(D$4,1))=0,"",
SUMIFS(Payments!$H:$H,Payments!$L:$L,"="&amp;$B73,Payments!$Q:$Q,"&gt;="&amp;D$4,Payments!$Q:$Q,"&lt;"&amp;EDATE(D$4,1)))</f>
        <v/>
      </c>
      <c r="E73" s="116" t="str">
        <f>IF(SUMIFS(Payments!$H:$H,Payments!$L:$L,"="&amp;$B73,Payments!$Q:$Q,"&gt;="&amp;E$4,Payments!$Q:$Q,"&lt;"&amp;EDATE(E$4,1))=0,"",
SUMIFS(Payments!$H:$H,Payments!$L:$L,"="&amp;$B73,Payments!$Q:$Q,"&gt;="&amp;E$4,Payments!$Q:$Q,"&lt;"&amp;EDATE(E$4,1)))</f>
        <v/>
      </c>
      <c r="F73" s="116" t="str">
        <f>IF(SUMIFS(Payments!$H:$H,Payments!$L:$L,"="&amp;$B73,Payments!$Q:$Q,"&gt;="&amp;F$4,Payments!$Q:$Q,"&lt;"&amp;EDATE(F$4,1))=0,"",
SUMIFS(Payments!$H:$H,Payments!$L:$L,"="&amp;$B73,Payments!$Q:$Q,"&gt;="&amp;F$4,Payments!$Q:$Q,"&lt;"&amp;EDATE(F$4,1)))</f>
        <v/>
      </c>
      <c r="G73" s="116" t="str">
        <f>IF(SUMIFS(Payments!$H:$H,Payments!$L:$L,"="&amp;$B73,Payments!$Q:$Q,"&gt;="&amp;G$4,Payments!$Q:$Q,"&lt;"&amp;EDATE(G$4,1))=0,"",
SUMIFS(Payments!$H:$H,Payments!$L:$L,"="&amp;$B73,Payments!$Q:$Q,"&gt;="&amp;G$4,Payments!$Q:$Q,"&lt;"&amp;EDATE(G$4,1)))</f>
        <v/>
      </c>
      <c r="H73" s="116" t="str">
        <f>IF(SUMIFS(Payments!$H:$H,Payments!$L:$L,"="&amp;$B73,Payments!$Q:$Q,"&gt;="&amp;H$4,Payments!$Q:$Q,"&lt;"&amp;EDATE(H$4,1))=0,"",
SUMIFS(Payments!$H:$H,Payments!$L:$L,"="&amp;$B73,Payments!$Q:$Q,"&gt;="&amp;H$4,Payments!$Q:$Q,"&lt;"&amp;EDATE(H$4,1)))</f>
        <v/>
      </c>
      <c r="I73" s="116" t="str">
        <f>IF(SUMIFS(Payments!$H:$H,Payments!$L:$L,"="&amp;$B73,Payments!$Q:$Q,"&gt;="&amp;I$4,Payments!$Q:$Q,"&lt;"&amp;EDATE(I$4,1))=0,"",
SUMIFS(Payments!$H:$H,Payments!$L:$L,"="&amp;$B73,Payments!$Q:$Q,"&gt;="&amp;I$4,Payments!$Q:$Q,"&lt;"&amp;EDATE(I$4,1)))</f>
        <v/>
      </c>
      <c r="J73" s="116" t="str">
        <f>IF(SUMIFS(Payments!$H:$H,Payments!$L:$L,"="&amp;$B73,Payments!$Q:$Q,"&gt;="&amp;J$4,Payments!$Q:$Q,"&lt;"&amp;EDATE(J$4,1))=0,"",
SUMIFS(Payments!$H:$H,Payments!$L:$L,"="&amp;$B73,Payments!$Q:$Q,"&gt;="&amp;J$4,Payments!$Q:$Q,"&lt;"&amp;EDATE(J$4,1)))</f>
        <v/>
      </c>
      <c r="K73" s="116" t="str">
        <f>IF(SUMIFS(Payments!$H:$H,Payments!$L:$L,"="&amp;$B73,Payments!$Q:$Q,"&gt;="&amp;K$4,Payments!$Q:$Q,"&lt;"&amp;EDATE(K$4,1))=0,"",
SUMIFS(Payments!$H:$H,Payments!$L:$L,"="&amp;$B73,Payments!$Q:$Q,"&gt;="&amp;K$4,Payments!$Q:$Q,"&lt;"&amp;EDATE(K$4,1)))</f>
        <v/>
      </c>
      <c r="L73" s="116" t="str">
        <f>IF(SUMIFS(Payments!$H:$H,Payments!$L:$L,"="&amp;$B73,Payments!$Q:$Q,"&gt;="&amp;L$4,Payments!$Q:$Q,"&lt;"&amp;EDATE(L$4,1))=0,"",
SUMIFS(Payments!$H:$H,Payments!$L:$L,"="&amp;$B73,Payments!$Q:$Q,"&gt;="&amp;L$4,Payments!$Q:$Q,"&lt;"&amp;EDATE(L$4,1)))</f>
        <v/>
      </c>
      <c r="M73" s="116" t="str">
        <f>IF(SUMIFS(Payments!$H:$H,Payments!$L:$L,"="&amp;$B73,Payments!$Q:$Q,"&gt;="&amp;M$4,Payments!$Q:$Q,"&lt;"&amp;EDATE(M$4,1))=0,"",
SUMIFS(Payments!$H:$H,Payments!$L:$L,"="&amp;$B73,Payments!$Q:$Q,"&gt;="&amp;M$4,Payments!$Q:$Q,"&lt;"&amp;EDATE(M$4,1)))</f>
        <v/>
      </c>
      <c r="N73" s="116" t="str">
        <f>IF(SUMIFS(Payments!$H:$H,Payments!$L:$L,"="&amp;$B73,Payments!$Q:$Q,"&gt;="&amp;N$4,Payments!$Q:$Q,"&lt;"&amp;EDATE(N$4,1))=0,"",
SUMIFS(Payments!$H:$H,Payments!$L:$L,"="&amp;$B73,Payments!$Q:$Q,"&gt;="&amp;N$4,Payments!$Q:$Q,"&lt;"&amp;EDATE(N$4,1)))</f>
        <v/>
      </c>
      <c r="O73" s="116">
        <f t="shared" si="26"/>
        <v>0</v>
      </c>
      <c r="P73" s="116">
        <f>SUMIFS(Payments!$H:$H,Payments!$L:L,"="&amp;$B73,Payments!$Q:$Q,"="&amp;"")</f>
        <v>0</v>
      </c>
      <c r="Q73" s="116">
        <f t="shared" si="27"/>
        <v>0</v>
      </c>
      <c r="R73" s="116">
        <f>VLOOKUP(B73,SETUP!H:K,4,FALSE)</f>
        <v>1700</v>
      </c>
      <c r="S73" s="116">
        <f t="shared" si="28"/>
        <v>1700</v>
      </c>
      <c r="T73" s="163">
        <f>IF(Q73=0,0,Q73/Q$86)</f>
        <v>0</v>
      </c>
      <c r="U73" s="163">
        <f>IF(Q73=0,0,IF(AGAR!E$8=0,"No precept",Q73/AGAR!E$8))</f>
        <v>0</v>
      </c>
    </row>
    <row r="74" spans="2:21" x14ac:dyDescent="0.3">
      <c r="B74" s="175" t="str">
        <f>SETUP!H58</f>
        <v>Amazon</v>
      </c>
      <c r="C74" s="116" t="str">
        <f>IF(SUMIFS(Payments!$H:$H,Payments!$L:$L,"="&amp;$B74,Payments!$Q:$Q,"&gt;="&amp;C$4,Payments!$Q:$Q,"&lt;"&amp;EDATE(C$4,1))=0,"",
SUMIFS(Payments!$H:$H,Payments!$L:$L,"="&amp;$B74,Payments!$Q:$Q,"&gt;="&amp;C$4,Payments!$Q:$Q,"&lt;"&amp;EDATE(C$4,1)))</f>
        <v/>
      </c>
      <c r="D74" s="116" t="str">
        <f>IF(SUMIFS(Payments!$H:$H,Payments!$L:$L,"="&amp;$B74,Payments!$Q:$Q,"&gt;="&amp;D$4,Payments!$Q:$Q,"&lt;"&amp;EDATE(D$4,1))=0,"",
SUMIFS(Payments!$H:$H,Payments!$L:$L,"="&amp;$B74,Payments!$Q:$Q,"&gt;="&amp;D$4,Payments!$Q:$Q,"&lt;"&amp;EDATE(D$4,1)))</f>
        <v/>
      </c>
      <c r="E74" s="116" t="str">
        <f>IF(SUMIFS(Payments!$H:$H,Payments!$L:$L,"="&amp;$B74,Payments!$Q:$Q,"&gt;="&amp;E$4,Payments!$Q:$Q,"&lt;"&amp;EDATE(E$4,1))=0,"",
SUMIFS(Payments!$H:$H,Payments!$L:$L,"="&amp;$B74,Payments!$Q:$Q,"&gt;="&amp;E$4,Payments!$Q:$Q,"&lt;"&amp;EDATE(E$4,1)))</f>
        <v/>
      </c>
      <c r="F74" s="116" t="str">
        <f>IF(SUMIFS(Payments!$H:$H,Payments!$L:$L,"="&amp;$B74,Payments!$Q:$Q,"&gt;="&amp;F$4,Payments!$Q:$Q,"&lt;"&amp;EDATE(F$4,1))=0,"",
SUMIFS(Payments!$H:$H,Payments!$L:$L,"="&amp;$B74,Payments!$Q:$Q,"&gt;="&amp;F$4,Payments!$Q:$Q,"&lt;"&amp;EDATE(F$4,1)))</f>
        <v/>
      </c>
      <c r="G74" s="116" t="str">
        <f>IF(SUMIFS(Payments!$H:$H,Payments!$L:$L,"="&amp;$B74,Payments!$Q:$Q,"&gt;="&amp;G$4,Payments!$Q:$Q,"&lt;"&amp;EDATE(G$4,1))=0,"",
SUMIFS(Payments!$H:$H,Payments!$L:$L,"="&amp;$B74,Payments!$Q:$Q,"&gt;="&amp;G$4,Payments!$Q:$Q,"&lt;"&amp;EDATE(G$4,1)))</f>
        <v/>
      </c>
      <c r="H74" s="116" t="str">
        <f>IF(SUMIFS(Payments!$H:$H,Payments!$L:$L,"="&amp;$B74,Payments!$Q:$Q,"&gt;="&amp;H$4,Payments!$Q:$Q,"&lt;"&amp;EDATE(H$4,1))=0,"",
SUMIFS(Payments!$H:$H,Payments!$L:$L,"="&amp;$B74,Payments!$Q:$Q,"&gt;="&amp;H$4,Payments!$Q:$Q,"&lt;"&amp;EDATE(H$4,1)))</f>
        <v/>
      </c>
      <c r="I74" s="116" t="str">
        <f>IF(SUMIFS(Payments!$H:$H,Payments!$L:$L,"="&amp;$B74,Payments!$Q:$Q,"&gt;="&amp;I$4,Payments!$Q:$Q,"&lt;"&amp;EDATE(I$4,1))=0,"",
SUMIFS(Payments!$H:$H,Payments!$L:$L,"="&amp;$B74,Payments!$Q:$Q,"&gt;="&amp;I$4,Payments!$Q:$Q,"&lt;"&amp;EDATE(I$4,1)))</f>
        <v/>
      </c>
      <c r="J74" s="116" t="str">
        <f>IF(SUMIFS(Payments!$H:$H,Payments!$L:$L,"="&amp;$B74,Payments!$Q:$Q,"&gt;="&amp;J$4,Payments!$Q:$Q,"&lt;"&amp;EDATE(J$4,1))=0,"",
SUMIFS(Payments!$H:$H,Payments!$L:$L,"="&amp;$B74,Payments!$Q:$Q,"&gt;="&amp;J$4,Payments!$Q:$Q,"&lt;"&amp;EDATE(J$4,1)))</f>
        <v/>
      </c>
      <c r="K74" s="116" t="str">
        <f>IF(SUMIFS(Payments!$H:$H,Payments!$L:$L,"="&amp;$B74,Payments!$Q:$Q,"&gt;="&amp;K$4,Payments!$Q:$Q,"&lt;"&amp;EDATE(K$4,1))=0,"",
SUMIFS(Payments!$H:$H,Payments!$L:$L,"="&amp;$B74,Payments!$Q:$Q,"&gt;="&amp;K$4,Payments!$Q:$Q,"&lt;"&amp;EDATE(K$4,1)))</f>
        <v/>
      </c>
      <c r="L74" s="116" t="str">
        <f>IF(SUMIFS(Payments!$H:$H,Payments!$L:$L,"="&amp;$B74,Payments!$Q:$Q,"&gt;="&amp;L$4,Payments!$Q:$Q,"&lt;"&amp;EDATE(L$4,1))=0,"",
SUMIFS(Payments!$H:$H,Payments!$L:$L,"="&amp;$B74,Payments!$Q:$Q,"&gt;="&amp;L$4,Payments!$Q:$Q,"&lt;"&amp;EDATE(L$4,1)))</f>
        <v/>
      </c>
      <c r="M74" s="116" t="str">
        <f>IF(SUMIFS(Payments!$H:$H,Payments!$L:$L,"="&amp;$B74,Payments!$Q:$Q,"&gt;="&amp;M$4,Payments!$Q:$Q,"&lt;"&amp;EDATE(M$4,1))=0,"",
SUMIFS(Payments!$H:$H,Payments!$L:$L,"="&amp;$B74,Payments!$Q:$Q,"&gt;="&amp;M$4,Payments!$Q:$Q,"&lt;"&amp;EDATE(M$4,1)))</f>
        <v/>
      </c>
      <c r="N74" s="116" t="str">
        <f>IF(SUMIFS(Payments!$H:$H,Payments!$L:$L,"="&amp;$B74,Payments!$Q:$Q,"&gt;="&amp;N$4,Payments!$Q:$Q,"&lt;"&amp;EDATE(N$4,1))=0,"",
SUMIFS(Payments!$H:$H,Payments!$L:$L,"="&amp;$B74,Payments!$Q:$Q,"&gt;="&amp;N$4,Payments!$Q:$Q,"&lt;"&amp;EDATE(N$4,1)))</f>
        <v/>
      </c>
      <c r="O74" s="116">
        <f t="shared" ref="O74:O75" si="57">SUM(C74:N74)</f>
        <v>0</v>
      </c>
      <c r="P74" s="116">
        <f>SUMIFS(Payments!$H:$H,Payments!$L:L,"="&amp;$B74,Payments!$Q:$Q,"="&amp;"")</f>
        <v>0</v>
      </c>
      <c r="Q74" s="116">
        <f t="shared" ref="Q74:Q75" si="58">SUM(O74:P74)</f>
        <v>0</v>
      </c>
      <c r="R74" s="116">
        <f>VLOOKUP(B74,SETUP!H:K,4,FALSE)</f>
        <v>95</v>
      </c>
      <c r="S74" s="116">
        <f t="shared" ref="S74:S75" si="59">R74-Q74</f>
        <v>95</v>
      </c>
      <c r="T74" s="163">
        <f t="shared" ref="T74:T75" si="60">IF(Q74=0,0,Q74/Q$86)</f>
        <v>0</v>
      </c>
      <c r="U74" s="163">
        <f>IF(Q74=0,0,IF(AGAR!E$8=0,"No precept",Q74/AGAR!E$8))</f>
        <v>0</v>
      </c>
    </row>
    <row r="75" spans="2:21" x14ac:dyDescent="0.3">
      <c r="B75" s="175" t="str">
        <f>SETUP!H59</f>
        <v>Google Play</v>
      </c>
      <c r="C75" s="116">
        <f>IF(SUMIFS(Payments!$H:$H,Payments!$L:$L,"="&amp;$B75,Payments!$Q:$Q,"&gt;="&amp;C$4,Payments!$Q:$Q,"&lt;"&amp;EDATE(C$4,1))=0,"",
SUMIFS(Payments!$H:$H,Payments!$L:$L,"="&amp;$B75,Payments!$Q:$Q,"&gt;="&amp;C$4,Payments!$Q:$Q,"&lt;"&amp;EDATE(C$4,1)))</f>
        <v>1.33</v>
      </c>
      <c r="D75" s="116">
        <f>IF(SUMIFS(Payments!$H:$H,Payments!$L:$L,"="&amp;$B75,Payments!$Q:$Q,"&gt;="&amp;D$4,Payments!$Q:$Q,"&lt;"&amp;EDATE(D$4,1))=0,"",
SUMIFS(Payments!$H:$H,Payments!$L:$L,"="&amp;$B75,Payments!$Q:$Q,"&gt;="&amp;D$4,Payments!$Q:$Q,"&lt;"&amp;EDATE(D$4,1)))</f>
        <v>1.33</v>
      </c>
      <c r="E75" s="116" t="str">
        <f>IF(SUMIFS(Payments!$H:$H,Payments!$L:$L,"="&amp;$B75,Payments!$Q:$Q,"&gt;="&amp;E$4,Payments!$Q:$Q,"&lt;"&amp;EDATE(E$4,1))=0,"",
SUMIFS(Payments!$H:$H,Payments!$L:$L,"="&amp;$B75,Payments!$Q:$Q,"&gt;="&amp;E$4,Payments!$Q:$Q,"&lt;"&amp;EDATE(E$4,1)))</f>
        <v/>
      </c>
      <c r="F75" s="116" t="str">
        <f>IF(SUMIFS(Payments!$H:$H,Payments!$L:$L,"="&amp;$B75,Payments!$Q:$Q,"&gt;="&amp;F$4,Payments!$Q:$Q,"&lt;"&amp;EDATE(F$4,1))=0,"",
SUMIFS(Payments!$H:$H,Payments!$L:$L,"="&amp;$B75,Payments!$Q:$Q,"&gt;="&amp;F$4,Payments!$Q:$Q,"&lt;"&amp;EDATE(F$4,1)))</f>
        <v/>
      </c>
      <c r="G75" s="116" t="str">
        <f>IF(SUMIFS(Payments!$H:$H,Payments!$L:$L,"="&amp;$B75,Payments!$Q:$Q,"&gt;="&amp;G$4,Payments!$Q:$Q,"&lt;"&amp;EDATE(G$4,1))=0,"",
SUMIFS(Payments!$H:$H,Payments!$L:$L,"="&amp;$B75,Payments!$Q:$Q,"&gt;="&amp;G$4,Payments!$Q:$Q,"&lt;"&amp;EDATE(G$4,1)))</f>
        <v/>
      </c>
      <c r="H75" s="116" t="str">
        <f>IF(SUMIFS(Payments!$H:$H,Payments!$L:$L,"="&amp;$B75,Payments!$Q:$Q,"&gt;="&amp;H$4,Payments!$Q:$Q,"&lt;"&amp;EDATE(H$4,1))=0,"",
SUMIFS(Payments!$H:$H,Payments!$L:$L,"="&amp;$B75,Payments!$Q:$Q,"&gt;="&amp;H$4,Payments!$Q:$Q,"&lt;"&amp;EDATE(H$4,1)))</f>
        <v/>
      </c>
      <c r="I75" s="116" t="str">
        <f>IF(SUMIFS(Payments!$H:$H,Payments!$L:$L,"="&amp;$B75,Payments!$Q:$Q,"&gt;="&amp;I$4,Payments!$Q:$Q,"&lt;"&amp;EDATE(I$4,1))=0,"",
SUMIFS(Payments!$H:$H,Payments!$L:$L,"="&amp;$B75,Payments!$Q:$Q,"&gt;="&amp;I$4,Payments!$Q:$Q,"&lt;"&amp;EDATE(I$4,1)))</f>
        <v/>
      </c>
      <c r="J75" s="116" t="str">
        <f>IF(SUMIFS(Payments!$H:$H,Payments!$L:$L,"="&amp;$B75,Payments!$Q:$Q,"&gt;="&amp;J$4,Payments!$Q:$Q,"&lt;"&amp;EDATE(J$4,1))=0,"",
SUMIFS(Payments!$H:$H,Payments!$L:$L,"="&amp;$B75,Payments!$Q:$Q,"&gt;="&amp;J$4,Payments!$Q:$Q,"&lt;"&amp;EDATE(J$4,1)))</f>
        <v/>
      </c>
      <c r="K75" s="116" t="str">
        <f>IF(SUMIFS(Payments!$H:$H,Payments!$L:$L,"="&amp;$B75,Payments!$Q:$Q,"&gt;="&amp;K$4,Payments!$Q:$Q,"&lt;"&amp;EDATE(K$4,1))=0,"",
SUMIFS(Payments!$H:$H,Payments!$L:$L,"="&amp;$B75,Payments!$Q:$Q,"&gt;="&amp;K$4,Payments!$Q:$Q,"&lt;"&amp;EDATE(K$4,1)))</f>
        <v/>
      </c>
      <c r="L75" s="116" t="str">
        <f>IF(SUMIFS(Payments!$H:$H,Payments!$L:$L,"="&amp;$B75,Payments!$Q:$Q,"&gt;="&amp;L$4,Payments!$Q:$Q,"&lt;"&amp;EDATE(L$4,1))=0,"",
SUMIFS(Payments!$H:$H,Payments!$L:$L,"="&amp;$B75,Payments!$Q:$Q,"&gt;="&amp;L$4,Payments!$Q:$Q,"&lt;"&amp;EDATE(L$4,1)))</f>
        <v/>
      </c>
      <c r="M75" s="116" t="str">
        <f>IF(SUMIFS(Payments!$H:$H,Payments!$L:$L,"="&amp;$B75,Payments!$Q:$Q,"&gt;="&amp;M$4,Payments!$Q:$Q,"&lt;"&amp;EDATE(M$4,1))=0,"",
SUMIFS(Payments!$H:$H,Payments!$L:$L,"="&amp;$B75,Payments!$Q:$Q,"&gt;="&amp;M$4,Payments!$Q:$Q,"&lt;"&amp;EDATE(M$4,1)))</f>
        <v/>
      </c>
      <c r="N75" s="116" t="str">
        <f>IF(SUMIFS(Payments!$H:$H,Payments!$L:$L,"="&amp;$B75,Payments!$Q:$Q,"&gt;="&amp;N$4,Payments!$Q:$Q,"&lt;"&amp;EDATE(N$4,1))=0,"",
SUMIFS(Payments!$H:$H,Payments!$L:$L,"="&amp;$B75,Payments!$Q:$Q,"&gt;="&amp;N$4,Payments!$Q:$Q,"&lt;"&amp;EDATE(N$4,1)))</f>
        <v/>
      </c>
      <c r="O75" s="116">
        <f t="shared" si="57"/>
        <v>2.66</v>
      </c>
      <c r="P75" s="116">
        <f>SUMIFS(Payments!$H:$H,Payments!$L:L,"="&amp;$B75,Payments!$Q:$Q,"="&amp;"")</f>
        <v>0</v>
      </c>
      <c r="Q75" s="116">
        <f t="shared" si="58"/>
        <v>2.66</v>
      </c>
      <c r="R75" s="116">
        <f>VLOOKUP(B75,SETUP!H:K,4,FALSE)</f>
        <v>36.99</v>
      </c>
      <c r="S75" s="116">
        <f t="shared" si="59"/>
        <v>34.33</v>
      </c>
      <c r="T75" s="163">
        <f t="shared" si="60"/>
        <v>6.7206185798827651E-5</v>
      </c>
      <c r="U75" s="163">
        <f>IF(Q75=0,0,IF(AGAR!E$8=0,"No precept",Q75/AGAR!E$8))</f>
        <v>1.7082709857237353E-5</v>
      </c>
    </row>
    <row r="76" spans="2:21" s="150" customFormat="1" x14ac:dyDescent="0.3">
      <c r="B76" s="27" t="str">
        <f>"Total "&amp;B72</f>
        <v>Total Subscriptions</v>
      </c>
      <c r="C76" s="165">
        <f>SUM(C73:C75)</f>
        <v>1.33</v>
      </c>
      <c r="D76" s="165">
        <f t="shared" ref="D76" si="61">SUM(D73:D75)</f>
        <v>1.33</v>
      </c>
      <c r="E76" s="165">
        <f t="shared" ref="E76" si="62">SUM(E73:E75)</f>
        <v>0</v>
      </c>
      <c r="F76" s="165">
        <f t="shared" ref="F76" si="63">SUM(F73:F75)</f>
        <v>0</v>
      </c>
      <c r="G76" s="165">
        <f t="shared" ref="G76" si="64">SUM(G73:G75)</f>
        <v>0</v>
      </c>
      <c r="H76" s="165">
        <f t="shared" ref="H76" si="65">SUM(H73:H75)</f>
        <v>0</v>
      </c>
      <c r="I76" s="165">
        <f t="shared" ref="I76" si="66">SUM(I73:I75)</f>
        <v>0</v>
      </c>
      <c r="J76" s="165">
        <f t="shared" ref="J76" si="67">SUM(J73:J75)</f>
        <v>0</v>
      </c>
      <c r="K76" s="165">
        <f t="shared" ref="K76" si="68">SUM(K73:K75)</f>
        <v>0</v>
      </c>
      <c r="L76" s="165">
        <f t="shared" ref="L76" si="69">SUM(L73:L75)</f>
        <v>0</v>
      </c>
      <c r="M76" s="165">
        <f t="shared" ref="M76" si="70">SUM(M73:M75)</f>
        <v>0</v>
      </c>
      <c r="N76" s="165">
        <f t="shared" ref="N76" si="71">SUM(N73:N75)</f>
        <v>0</v>
      </c>
      <c r="O76" s="165">
        <f t="shared" ref="O76" si="72">SUM(O73:O75)</f>
        <v>2.66</v>
      </c>
      <c r="P76" s="165">
        <f t="shared" ref="P76" si="73">SUM(P73:P75)</f>
        <v>0</v>
      </c>
      <c r="Q76" s="165">
        <f t="shared" ref="Q76" si="74">SUM(Q73:Q75)</f>
        <v>2.66</v>
      </c>
      <c r="R76" s="165">
        <f t="shared" ref="R76" si="75">SUM(R73:R75)</f>
        <v>1831.99</v>
      </c>
      <c r="S76" s="165">
        <f t="shared" ref="S76" si="76">SUM(S73:S75)</f>
        <v>1829.33</v>
      </c>
      <c r="T76" s="166">
        <f t="shared" ref="T76" si="77">SUM(T73:T75)</f>
        <v>6.7206185798827651E-5</v>
      </c>
      <c r="U76" s="166">
        <f t="shared" ref="U76" si="78">SUM(U73:U75)</f>
        <v>1.7082709857237353E-5</v>
      </c>
    </row>
    <row r="78" spans="2:21" x14ac:dyDescent="0.3">
      <c r="B78" s="174" t="str">
        <f>SETUP!H60</f>
        <v>S137</v>
      </c>
      <c r="C78" s="160" t="str">
        <f>IF(SUMIFS(Payments!$H:$H,Payments!$L:$L,"="&amp;$B78,Payments!$Q:$Q,"&gt;="&amp;C$4,Payments!$Q:$Q,"&lt;"&amp;EDATE(C$4,1))=0,"",
SUMIFS(Payments!$H:$H,Payments!$L:$L,"="&amp;$B78,Payments!$Q:$Q,"&gt;="&amp;C$4,Payments!$Q:$Q,"&lt;"&amp;EDATE(C$4,1)))</f>
        <v/>
      </c>
      <c r="D78" s="160" t="str">
        <f>IF(SUMIFS(Payments!$H:$H,Payments!$L:$L,"="&amp;$B78,Payments!$Q:$Q,"&gt;="&amp;D$4,Payments!$Q:$Q,"&lt;"&amp;EDATE(D$4,1))=0,"",
SUMIFS(Payments!$H:$H,Payments!$L:$L,"="&amp;$B78,Payments!$Q:$Q,"&gt;="&amp;D$4,Payments!$Q:$Q,"&lt;"&amp;EDATE(D$4,1)))</f>
        <v/>
      </c>
      <c r="E78" s="160" t="str">
        <f>IF(SUMIFS(Payments!$H:$H,Payments!$L:$L,"="&amp;$B78,Payments!$Q:$Q,"&gt;="&amp;E$4,Payments!$Q:$Q,"&lt;"&amp;EDATE(E$4,1))=0,"",
SUMIFS(Payments!$H:$H,Payments!$L:$L,"="&amp;$B78,Payments!$Q:$Q,"&gt;="&amp;E$4,Payments!$Q:$Q,"&lt;"&amp;EDATE(E$4,1)))</f>
        <v/>
      </c>
      <c r="F78" s="160" t="str">
        <f>IF(SUMIFS(Payments!$H:$H,Payments!$L:$L,"="&amp;$B78,Payments!$Q:$Q,"&gt;="&amp;F$4,Payments!$Q:$Q,"&lt;"&amp;EDATE(F$4,1))=0,"",
SUMIFS(Payments!$H:$H,Payments!$L:$L,"="&amp;$B78,Payments!$Q:$Q,"&gt;="&amp;F$4,Payments!$Q:$Q,"&lt;"&amp;EDATE(F$4,1)))</f>
        <v/>
      </c>
      <c r="G78" s="160" t="str">
        <f>IF(SUMIFS(Payments!$H:$H,Payments!$L:$L,"="&amp;$B78,Payments!$Q:$Q,"&gt;="&amp;G$4,Payments!$Q:$Q,"&lt;"&amp;EDATE(G$4,1))=0,"",
SUMIFS(Payments!$H:$H,Payments!$L:$L,"="&amp;$B78,Payments!$Q:$Q,"&gt;="&amp;G$4,Payments!$Q:$Q,"&lt;"&amp;EDATE(G$4,1)))</f>
        <v/>
      </c>
      <c r="H78" s="160" t="str">
        <f>IF(SUMIFS(Payments!$H:$H,Payments!$L:$L,"="&amp;$B78,Payments!$Q:$Q,"&gt;="&amp;H$4,Payments!$Q:$Q,"&lt;"&amp;EDATE(H$4,1))=0,"",
SUMIFS(Payments!$H:$H,Payments!$L:$L,"="&amp;$B78,Payments!$Q:$Q,"&gt;="&amp;H$4,Payments!$Q:$Q,"&lt;"&amp;EDATE(H$4,1)))</f>
        <v/>
      </c>
      <c r="I78" s="160" t="str">
        <f>IF(SUMIFS(Payments!$H:$H,Payments!$L:$L,"="&amp;$B78,Payments!$Q:$Q,"&gt;="&amp;I$4,Payments!$Q:$Q,"&lt;"&amp;EDATE(I$4,1))=0,"",
SUMIFS(Payments!$H:$H,Payments!$L:$L,"="&amp;$B78,Payments!$Q:$Q,"&gt;="&amp;I$4,Payments!$Q:$Q,"&lt;"&amp;EDATE(I$4,1)))</f>
        <v/>
      </c>
      <c r="J78" s="160" t="str">
        <f>IF(SUMIFS(Payments!$H:$H,Payments!$L:$L,"="&amp;$B78,Payments!$Q:$Q,"&gt;="&amp;J$4,Payments!$Q:$Q,"&lt;"&amp;EDATE(J$4,1))=0,"",
SUMIFS(Payments!$H:$H,Payments!$L:$L,"="&amp;$B78,Payments!$Q:$Q,"&gt;="&amp;J$4,Payments!$Q:$Q,"&lt;"&amp;EDATE(J$4,1)))</f>
        <v/>
      </c>
      <c r="K78" s="160" t="str">
        <f>IF(SUMIFS(Payments!$H:$H,Payments!$L:$L,"="&amp;$B78,Payments!$Q:$Q,"&gt;="&amp;K$4,Payments!$Q:$Q,"&lt;"&amp;EDATE(K$4,1))=0,"",
SUMIFS(Payments!$H:$H,Payments!$L:$L,"="&amp;$B78,Payments!$Q:$Q,"&gt;="&amp;K$4,Payments!$Q:$Q,"&lt;"&amp;EDATE(K$4,1)))</f>
        <v/>
      </c>
      <c r="L78" s="160" t="str">
        <f>IF(SUMIFS(Payments!$H:$H,Payments!$L:$L,"="&amp;$B78,Payments!$Q:$Q,"&gt;="&amp;L$4,Payments!$Q:$Q,"&lt;"&amp;EDATE(L$4,1))=0,"",
SUMIFS(Payments!$H:$H,Payments!$L:$L,"="&amp;$B78,Payments!$Q:$Q,"&gt;="&amp;L$4,Payments!$Q:$Q,"&lt;"&amp;EDATE(L$4,1)))</f>
        <v/>
      </c>
      <c r="M78" s="160" t="str">
        <f>IF(SUMIFS(Payments!$H:$H,Payments!$L:$L,"="&amp;$B78,Payments!$Q:$Q,"&gt;="&amp;M$4,Payments!$Q:$Q,"&lt;"&amp;EDATE(M$4,1))=0,"",
SUMIFS(Payments!$H:$H,Payments!$L:$L,"="&amp;$B78,Payments!$Q:$Q,"&gt;="&amp;M$4,Payments!$Q:$Q,"&lt;"&amp;EDATE(M$4,1)))</f>
        <v/>
      </c>
      <c r="N78" s="160" t="str">
        <f>IF(SUMIFS(Payments!$H:$H,Payments!$L:$L,"="&amp;$B78,Payments!$Q:$Q,"&gt;="&amp;N$4,Payments!$Q:$Q,"&lt;"&amp;EDATE(N$4,1))=0,"",
SUMIFS(Payments!$H:$H,Payments!$L:$L,"="&amp;$B78,Payments!$Q:$Q,"&gt;="&amp;N$4,Payments!$Q:$Q,"&lt;"&amp;EDATE(N$4,1)))</f>
        <v/>
      </c>
      <c r="O78" s="160"/>
      <c r="P78" s="160"/>
      <c r="Q78" s="160"/>
      <c r="R78" s="160"/>
      <c r="S78" s="160"/>
      <c r="T78" s="161"/>
      <c r="U78" s="162"/>
    </row>
    <row r="79" spans="2:21" x14ac:dyDescent="0.3">
      <c r="B79" s="175" t="str">
        <f>SETUP!H61</f>
        <v>Grants</v>
      </c>
      <c r="C79" s="116" t="str">
        <f>IF(SUMIFS(Payments!$H:$H,Payments!$L:$L,"="&amp;$B79,Payments!$Q:$Q,"&gt;="&amp;C$4,Payments!$Q:$Q,"&lt;"&amp;EDATE(C$4,1))=0,"",
SUMIFS(Payments!$H:$H,Payments!$L:$L,"="&amp;$B79,Payments!$Q:$Q,"&gt;="&amp;C$4,Payments!$Q:$Q,"&lt;"&amp;EDATE(C$4,1)))</f>
        <v/>
      </c>
      <c r="D79" s="164">
        <f>IF(SUMIFS(Payments!$H:$H,Payments!$L:$L,"="&amp;$B79,Payments!$Q:$Q,"&gt;="&amp;D$4,Payments!$Q:$Q,"&lt;"&amp;EDATE(D$4,1))=0,"",
SUMIFS(Payments!$H:$H,Payments!$L:$L,"="&amp;$B79,Payments!$Q:$Q,"&gt;="&amp;D$4,Payments!$Q:$Q,"&lt;"&amp;EDATE(D$4,1)))</f>
        <v>2250</v>
      </c>
      <c r="E79" s="116" t="str">
        <f>IF(SUMIFS(Payments!$H:$H,Payments!$L:$L,"="&amp;$B79,Payments!$Q:$Q,"&gt;="&amp;E$4,Payments!$Q:$Q,"&lt;"&amp;EDATE(E$4,1))=0,"",
SUMIFS(Payments!$H:$H,Payments!$L:$L,"="&amp;$B79,Payments!$Q:$Q,"&gt;="&amp;E$4,Payments!$Q:$Q,"&lt;"&amp;EDATE(E$4,1)))</f>
        <v/>
      </c>
      <c r="F79" s="116" t="str">
        <f>IF(SUMIFS(Payments!$H:$H,Payments!$L:$L,"="&amp;$B79,Payments!$Q:$Q,"&gt;="&amp;F$4,Payments!$Q:$Q,"&lt;"&amp;EDATE(F$4,1))=0,"",
SUMIFS(Payments!$H:$H,Payments!$L:$L,"="&amp;$B79,Payments!$Q:$Q,"&gt;="&amp;F$4,Payments!$Q:$Q,"&lt;"&amp;EDATE(F$4,1)))</f>
        <v/>
      </c>
      <c r="G79" s="116" t="str">
        <f>IF(SUMIFS(Payments!$H:$H,Payments!$L:$L,"="&amp;$B79,Payments!$Q:$Q,"&gt;="&amp;G$4,Payments!$Q:$Q,"&lt;"&amp;EDATE(G$4,1))=0,"",
SUMIFS(Payments!$H:$H,Payments!$L:$L,"="&amp;$B79,Payments!$Q:$Q,"&gt;="&amp;G$4,Payments!$Q:$Q,"&lt;"&amp;EDATE(G$4,1)))</f>
        <v/>
      </c>
      <c r="H79" s="116" t="str">
        <f>IF(SUMIFS(Payments!$H:$H,Payments!$L:$L,"="&amp;$B79,Payments!$Q:$Q,"&gt;="&amp;H$4,Payments!$Q:$Q,"&lt;"&amp;EDATE(H$4,1))=0,"",
SUMIFS(Payments!$H:$H,Payments!$L:$L,"="&amp;$B79,Payments!$Q:$Q,"&gt;="&amp;H$4,Payments!$Q:$Q,"&lt;"&amp;EDATE(H$4,1)))</f>
        <v/>
      </c>
      <c r="I79" s="116" t="str">
        <f>IF(SUMIFS(Payments!$H:$H,Payments!$L:$L,"="&amp;$B79,Payments!$Q:$Q,"&gt;="&amp;I$4,Payments!$Q:$Q,"&lt;"&amp;EDATE(I$4,1))=0,"",
SUMIFS(Payments!$H:$H,Payments!$L:$L,"="&amp;$B79,Payments!$Q:$Q,"&gt;="&amp;I$4,Payments!$Q:$Q,"&lt;"&amp;EDATE(I$4,1)))</f>
        <v/>
      </c>
      <c r="J79" s="116" t="str">
        <f>IF(SUMIFS(Payments!$H:$H,Payments!$L:$L,"="&amp;$B79,Payments!$Q:$Q,"&gt;="&amp;J$4,Payments!$Q:$Q,"&lt;"&amp;EDATE(J$4,1))=0,"",
SUMIFS(Payments!$H:$H,Payments!$L:$L,"="&amp;$B79,Payments!$Q:$Q,"&gt;="&amp;J$4,Payments!$Q:$Q,"&lt;"&amp;EDATE(J$4,1)))</f>
        <v/>
      </c>
      <c r="K79" s="116" t="str">
        <f>IF(SUMIFS(Payments!$H:$H,Payments!$L:$L,"="&amp;$B79,Payments!$Q:$Q,"&gt;="&amp;K$4,Payments!$Q:$Q,"&lt;"&amp;EDATE(K$4,1))=0,"",
SUMIFS(Payments!$H:$H,Payments!$L:$L,"="&amp;$B79,Payments!$Q:$Q,"&gt;="&amp;K$4,Payments!$Q:$Q,"&lt;"&amp;EDATE(K$4,1)))</f>
        <v/>
      </c>
      <c r="L79" s="116" t="str">
        <f>IF(SUMIFS(Payments!$H:$H,Payments!$L:$L,"="&amp;$B79,Payments!$Q:$Q,"&gt;="&amp;L$4,Payments!$Q:$Q,"&lt;"&amp;EDATE(L$4,1))=0,"",
SUMIFS(Payments!$H:$H,Payments!$L:$L,"="&amp;$B79,Payments!$Q:$Q,"&gt;="&amp;L$4,Payments!$Q:$Q,"&lt;"&amp;EDATE(L$4,1)))</f>
        <v/>
      </c>
      <c r="M79" s="116" t="str">
        <f>IF(SUMIFS(Payments!$H:$H,Payments!$L:$L,"="&amp;$B79,Payments!$Q:$Q,"&gt;="&amp;M$4,Payments!$Q:$Q,"&lt;"&amp;EDATE(M$4,1))=0,"",
SUMIFS(Payments!$H:$H,Payments!$L:$L,"="&amp;$B79,Payments!$Q:$Q,"&gt;="&amp;M$4,Payments!$Q:$Q,"&lt;"&amp;EDATE(M$4,1)))</f>
        <v/>
      </c>
      <c r="N79" s="116" t="str">
        <f>IF(SUMIFS(Payments!$H:$H,Payments!$L:$L,"="&amp;$B79,Payments!$Q:$Q,"&gt;="&amp;N$4,Payments!$Q:$Q,"&lt;"&amp;EDATE(N$4,1))=0,"",
SUMIFS(Payments!$H:$H,Payments!$L:$L,"="&amp;$B79,Payments!$Q:$Q,"&gt;="&amp;N$4,Payments!$Q:$Q,"&lt;"&amp;EDATE(N$4,1)))</f>
        <v/>
      </c>
      <c r="O79" s="116">
        <f t="shared" si="26"/>
        <v>2250</v>
      </c>
      <c r="P79" s="116">
        <f>SUMIFS(Payments!$H:$H,Payments!$L:L,"="&amp;$B79,Payments!$Q:$Q,"="&amp;"")</f>
        <v>0</v>
      </c>
      <c r="Q79" s="116">
        <f t="shared" si="27"/>
        <v>2250</v>
      </c>
      <c r="R79" s="116">
        <f>VLOOKUP(B79,SETUP!H:K,4,FALSE)</f>
        <v>3000</v>
      </c>
      <c r="S79" s="116">
        <f t="shared" si="28"/>
        <v>750</v>
      </c>
      <c r="T79" s="163">
        <f>IF(Q79=0,0,Q79/Q$86)</f>
        <v>5.6847337611790304E-2</v>
      </c>
      <c r="U79" s="163">
        <f>IF(Q79=0,0,IF(AGAR!E$8=0,"No precept",Q79/AGAR!E$8))</f>
        <v>1.4449660593527836E-2</v>
      </c>
    </row>
    <row r="80" spans="2:21" x14ac:dyDescent="0.3">
      <c r="B80" s="175" t="str">
        <f>SETUP!H62</f>
        <v>Spare Code</v>
      </c>
      <c r="C80" s="116" t="str">
        <f>IF(SUMIFS(Payments!$H:$H,Payments!$L:$L,"="&amp;$B80,Payments!$Q:$Q,"&gt;="&amp;C$4,Payments!$Q:$Q,"&lt;"&amp;EDATE(C$4,1))=0,"",
SUMIFS(Payments!$H:$H,Payments!$L:$L,"="&amp;$B80,Payments!$Q:$Q,"&gt;="&amp;C$4,Payments!$Q:$Q,"&lt;"&amp;EDATE(C$4,1)))</f>
        <v/>
      </c>
      <c r="D80" s="116" t="str">
        <f>IF(SUMIFS(Payments!$H:$H,Payments!$L:$L,"="&amp;$B80,Payments!$Q:$Q,"&gt;="&amp;D$4,Payments!$Q:$Q,"&lt;"&amp;EDATE(D$4,1))=0,"",
SUMIFS(Payments!$H:$H,Payments!$L:$L,"="&amp;$B80,Payments!$Q:$Q,"&gt;="&amp;D$4,Payments!$Q:$Q,"&lt;"&amp;EDATE(D$4,1)))</f>
        <v/>
      </c>
      <c r="E80" s="116" t="str">
        <f>IF(SUMIFS(Payments!$H:$H,Payments!$L:$L,"="&amp;$B80,Payments!$Q:$Q,"&gt;="&amp;E$4,Payments!$Q:$Q,"&lt;"&amp;EDATE(E$4,1))=0,"",
SUMIFS(Payments!$H:$H,Payments!$L:$L,"="&amp;$B80,Payments!$Q:$Q,"&gt;="&amp;E$4,Payments!$Q:$Q,"&lt;"&amp;EDATE(E$4,1)))</f>
        <v/>
      </c>
      <c r="F80" s="116" t="str">
        <f>IF(SUMIFS(Payments!$H:$H,Payments!$L:$L,"="&amp;$B80,Payments!$Q:$Q,"&gt;="&amp;F$4,Payments!$Q:$Q,"&lt;"&amp;EDATE(F$4,1))=0,"",
SUMIFS(Payments!$H:$H,Payments!$L:$L,"="&amp;$B80,Payments!$Q:$Q,"&gt;="&amp;F$4,Payments!$Q:$Q,"&lt;"&amp;EDATE(F$4,1)))</f>
        <v/>
      </c>
      <c r="G80" s="116" t="str">
        <f>IF(SUMIFS(Payments!$H:$H,Payments!$L:$L,"="&amp;$B80,Payments!$Q:$Q,"&gt;="&amp;G$4,Payments!$Q:$Q,"&lt;"&amp;EDATE(G$4,1))=0,"",
SUMIFS(Payments!$H:$H,Payments!$L:$L,"="&amp;$B80,Payments!$Q:$Q,"&gt;="&amp;G$4,Payments!$Q:$Q,"&lt;"&amp;EDATE(G$4,1)))</f>
        <v/>
      </c>
      <c r="H80" s="116" t="str">
        <f>IF(SUMIFS(Payments!$H:$H,Payments!$L:$L,"="&amp;$B80,Payments!$Q:$Q,"&gt;="&amp;H$4,Payments!$Q:$Q,"&lt;"&amp;EDATE(H$4,1))=0,"",
SUMIFS(Payments!$H:$H,Payments!$L:$L,"="&amp;$B80,Payments!$Q:$Q,"&gt;="&amp;H$4,Payments!$Q:$Q,"&lt;"&amp;EDATE(H$4,1)))</f>
        <v/>
      </c>
      <c r="I80" s="116" t="str">
        <f>IF(SUMIFS(Payments!$H:$H,Payments!$L:$L,"="&amp;$B80,Payments!$Q:$Q,"&gt;="&amp;I$4,Payments!$Q:$Q,"&lt;"&amp;EDATE(I$4,1))=0,"",
SUMIFS(Payments!$H:$H,Payments!$L:$L,"="&amp;$B80,Payments!$Q:$Q,"&gt;="&amp;I$4,Payments!$Q:$Q,"&lt;"&amp;EDATE(I$4,1)))</f>
        <v/>
      </c>
      <c r="J80" s="116" t="str">
        <f>IF(SUMIFS(Payments!$H:$H,Payments!$L:$L,"="&amp;$B80,Payments!$Q:$Q,"&gt;="&amp;J$4,Payments!$Q:$Q,"&lt;"&amp;EDATE(J$4,1))=0,"",
SUMIFS(Payments!$H:$H,Payments!$L:$L,"="&amp;$B80,Payments!$Q:$Q,"&gt;="&amp;J$4,Payments!$Q:$Q,"&lt;"&amp;EDATE(J$4,1)))</f>
        <v/>
      </c>
      <c r="K80" s="116" t="str">
        <f>IF(SUMIFS(Payments!$H:$H,Payments!$L:$L,"="&amp;$B80,Payments!$Q:$Q,"&gt;="&amp;K$4,Payments!$Q:$Q,"&lt;"&amp;EDATE(K$4,1))=0,"",
SUMIFS(Payments!$H:$H,Payments!$L:$L,"="&amp;$B80,Payments!$Q:$Q,"&gt;="&amp;K$4,Payments!$Q:$Q,"&lt;"&amp;EDATE(K$4,1)))</f>
        <v/>
      </c>
      <c r="L80" s="116" t="str">
        <f>IF(SUMIFS(Payments!$H:$H,Payments!$L:$L,"="&amp;$B80,Payments!$Q:$Q,"&gt;="&amp;L$4,Payments!$Q:$Q,"&lt;"&amp;EDATE(L$4,1))=0,"",
SUMIFS(Payments!$H:$H,Payments!$L:$L,"="&amp;$B80,Payments!$Q:$Q,"&gt;="&amp;L$4,Payments!$Q:$Q,"&lt;"&amp;EDATE(L$4,1)))</f>
        <v/>
      </c>
      <c r="M80" s="116" t="str">
        <f>IF(SUMIFS(Payments!$H:$H,Payments!$L:$L,"="&amp;$B80,Payments!$Q:$Q,"&gt;="&amp;M$4,Payments!$Q:$Q,"&lt;"&amp;EDATE(M$4,1))=0,"",
SUMIFS(Payments!$H:$H,Payments!$L:$L,"="&amp;$B80,Payments!$Q:$Q,"&gt;="&amp;M$4,Payments!$Q:$Q,"&lt;"&amp;EDATE(M$4,1)))</f>
        <v/>
      </c>
      <c r="N80" s="116" t="str">
        <f>IF(SUMIFS(Payments!$H:$H,Payments!$L:$L,"="&amp;$B80,Payments!$Q:$Q,"&gt;="&amp;N$4,Payments!$Q:$Q,"&lt;"&amp;EDATE(N$4,1))=0,"",
SUMIFS(Payments!$H:$H,Payments!$L:$L,"="&amp;$B80,Payments!$Q:$Q,"&gt;="&amp;N$4,Payments!$Q:$Q,"&lt;"&amp;EDATE(N$4,1)))</f>
        <v/>
      </c>
      <c r="O80" s="116">
        <f t="shared" ref="O80:O81" si="79">SUM(C80:N80)</f>
        <v>0</v>
      </c>
      <c r="P80" s="116">
        <f>SUMIFS(Payments!$H:$H,Payments!$L:L,"="&amp;$B80,Payments!$Q:$Q,"="&amp;"")</f>
        <v>0</v>
      </c>
      <c r="Q80" s="116">
        <f t="shared" ref="Q80:Q81" si="80">SUM(O80:P80)</f>
        <v>0</v>
      </c>
      <c r="R80" s="116">
        <f>VLOOKUP(B80,SETUP!H:K,4,FALSE)</f>
        <v>0</v>
      </c>
      <c r="S80" s="116">
        <f t="shared" ref="S80:S81" si="81">R80-Q80</f>
        <v>0</v>
      </c>
      <c r="T80" s="163">
        <f t="shared" ref="T80:T81" si="82">IF(Q80=0,0,Q80/Q$86)</f>
        <v>0</v>
      </c>
      <c r="U80" s="163">
        <f>IF(Q80=0,0,IF(AGAR!E$8=0,"No precept",Q80/AGAR!E$8))</f>
        <v>0</v>
      </c>
    </row>
    <row r="81" spans="2:21" x14ac:dyDescent="0.3">
      <c r="B81" s="175" t="str">
        <f>SETUP!H63</f>
        <v>Spare Code</v>
      </c>
      <c r="C81" s="116" t="str">
        <f>IF(SUMIFS(Payments!$H:$H,Payments!$L:$L,"="&amp;$B81,Payments!$Q:$Q,"&gt;="&amp;C$4,Payments!$Q:$Q,"&lt;"&amp;EDATE(C$4,1))=0,"",
SUMIFS(Payments!$H:$H,Payments!$L:$L,"="&amp;$B81,Payments!$Q:$Q,"&gt;="&amp;C$4,Payments!$Q:$Q,"&lt;"&amp;EDATE(C$4,1)))</f>
        <v/>
      </c>
      <c r="D81" s="116" t="str">
        <f>IF(SUMIFS(Payments!$H:$H,Payments!$L:$L,"="&amp;$B81,Payments!$Q:$Q,"&gt;="&amp;D$4,Payments!$Q:$Q,"&lt;"&amp;EDATE(D$4,1))=0,"",
SUMIFS(Payments!$H:$H,Payments!$L:$L,"="&amp;$B81,Payments!$Q:$Q,"&gt;="&amp;D$4,Payments!$Q:$Q,"&lt;"&amp;EDATE(D$4,1)))</f>
        <v/>
      </c>
      <c r="E81" s="116" t="str">
        <f>IF(SUMIFS(Payments!$H:$H,Payments!$L:$L,"="&amp;$B81,Payments!$Q:$Q,"&gt;="&amp;E$4,Payments!$Q:$Q,"&lt;"&amp;EDATE(E$4,1))=0,"",
SUMIFS(Payments!$H:$H,Payments!$L:$L,"="&amp;$B81,Payments!$Q:$Q,"&gt;="&amp;E$4,Payments!$Q:$Q,"&lt;"&amp;EDATE(E$4,1)))</f>
        <v/>
      </c>
      <c r="F81" s="116" t="str">
        <f>IF(SUMIFS(Payments!$H:$H,Payments!$L:$L,"="&amp;$B81,Payments!$Q:$Q,"&gt;="&amp;F$4,Payments!$Q:$Q,"&lt;"&amp;EDATE(F$4,1))=0,"",
SUMIFS(Payments!$H:$H,Payments!$L:$L,"="&amp;$B81,Payments!$Q:$Q,"&gt;="&amp;F$4,Payments!$Q:$Q,"&lt;"&amp;EDATE(F$4,1)))</f>
        <v/>
      </c>
      <c r="G81" s="116" t="str">
        <f>IF(SUMIFS(Payments!$H:$H,Payments!$L:$L,"="&amp;$B81,Payments!$Q:$Q,"&gt;="&amp;G$4,Payments!$Q:$Q,"&lt;"&amp;EDATE(G$4,1))=0,"",
SUMIFS(Payments!$H:$H,Payments!$L:$L,"="&amp;$B81,Payments!$Q:$Q,"&gt;="&amp;G$4,Payments!$Q:$Q,"&lt;"&amp;EDATE(G$4,1)))</f>
        <v/>
      </c>
      <c r="H81" s="116" t="str">
        <f>IF(SUMIFS(Payments!$H:$H,Payments!$L:$L,"="&amp;$B81,Payments!$Q:$Q,"&gt;="&amp;H$4,Payments!$Q:$Q,"&lt;"&amp;EDATE(H$4,1))=0,"",
SUMIFS(Payments!$H:$H,Payments!$L:$L,"="&amp;$B81,Payments!$Q:$Q,"&gt;="&amp;H$4,Payments!$Q:$Q,"&lt;"&amp;EDATE(H$4,1)))</f>
        <v/>
      </c>
      <c r="I81" s="116" t="str">
        <f>IF(SUMIFS(Payments!$H:$H,Payments!$L:$L,"="&amp;$B81,Payments!$Q:$Q,"&gt;="&amp;I$4,Payments!$Q:$Q,"&lt;"&amp;EDATE(I$4,1))=0,"",
SUMIFS(Payments!$H:$H,Payments!$L:$L,"="&amp;$B81,Payments!$Q:$Q,"&gt;="&amp;I$4,Payments!$Q:$Q,"&lt;"&amp;EDATE(I$4,1)))</f>
        <v/>
      </c>
      <c r="J81" s="116" t="str">
        <f>IF(SUMIFS(Payments!$H:$H,Payments!$L:$L,"="&amp;$B81,Payments!$Q:$Q,"&gt;="&amp;J$4,Payments!$Q:$Q,"&lt;"&amp;EDATE(J$4,1))=0,"",
SUMIFS(Payments!$H:$H,Payments!$L:$L,"="&amp;$B81,Payments!$Q:$Q,"&gt;="&amp;J$4,Payments!$Q:$Q,"&lt;"&amp;EDATE(J$4,1)))</f>
        <v/>
      </c>
      <c r="K81" s="116" t="str">
        <f>IF(SUMIFS(Payments!$H:$H,Payments!$L:$L,"="&amp;$B81,Payments!$Q:$Q,"&gt;="&amp;K$4,Payments!$Q:$Q,"&lt;"&amp;EDATE(K$4,1))=0,"",
SUMIFS(Payments!$H:$H,Payments!$L:$L,"="&amp;$B81,Payments!$Q:$Q,"&gt;="&amp;K$4,Payments!$Q:$Q,"&lt;"&amp;EDATE(K$4,1)))</f>
        <v/>
      </c>
      <c r="L81" s="116" t="str">
        <f>IF(SUMIFS(Payments!$H:$H,Payments!$L:$L,"="&amp;$B81,Payments!$Q:$Q,"&gt;="&amp;L$4,Payments!$Q:$Q,"&lt;"&amp;EDATE(L$4,1))=0,"",
SUMIFS(Payments!$H:$H,Payments!$L:$L,"="&amp;$B81,Payments!$Q:$Q,"&gt;="&amp;L$4,Payments!$Q:$Q,"&lt;"&amp;EDATE(L$4,1)))</f>
        <v/>
      </c>
      <c r="M81" s="116" t="str">
        <f>IF(SUMIFS(Payments!$H:$H,Payments!$L:$L,"="&amp;$B81,Payments!$Q:$Q,"&gt;="&amp;M$4,Payments!$Q:$Q,"&lt;"&amp;EDATE(M$4,1))=0,"",
SUMIFS(Payments!$H:$H,Payments!$L:$L,"="&amp;$B81,Payments!$Q:$Q,"&gt;="&amp;M$4,Payments!$Q:$Q,"&lt;"&amp;EDATE(M$4,1)))</f>
        <v/>
      </c>
      <c r="N81" s="116" t="str">
        <f>IF(SUMIFS(Payments!$H:$H,Payments!$L:$L,"="&amp;$B81,Payments!$Q:$Q,"&gt;="&amp;N$4,Payments!$Q:$Q,"&lt;"&amp;EDATE(N$4,1))=0,"",
SUMIFS(Payments!$H:$H,Payments!$L:$L,"="&amp;$B81,Payments!$Q:$Q,"&gt;="&amp;N$4,Payments!$Q:$Q,"&lt;"&amp;EDATE(N$4,1)))</f>
        <v/>
      </c>
      <c r="O81" s="116">
        <f t="shared" si="79"/>
        <v>0</v>
      </c>
      <c r="P81" s="116">
        <f>SUMIFS(Payments!$H:$H,Payments!$L:L,"="&amp;$B81,Payments!$Q:$Q,"="&amp;"")</f>
        <v>0</v>
      </c>
      <c r="Q81" s="116">
        <f t="shared" si="80"/>
        <v>0</v>
      </c>
      <c r="R81" s="116">
        <f>VLOOKUP(B81,SETUP!H:K,4,FALSE)</f>
        <v>0</v>
      </c>
      <c r="S81" s="116">
        <f t="shared" si="81"/>
        <v>0</v>
      </c>
      <c r="T81" s="163">
        <f t="shared" si="82"/>
        <v>0</v>
      </c>
      <c r="U81" s="163">
        <f>IF(Q81=0,0,IF(AGAR!E$8=0,"No precept",Q81/AGAR!E$8))</f>
        <v>0</v>
      </c>
    </row>
    <row r="82" spans="2:21" s="150" customFormat="1" x14ac:dyDescent="0.3">
      <c r="B82" s="27" t="str">
        <f>"Total "&amp;B78</f>
        <v>Total S137</v>
      </c>
      <c r="C82" s="165">
        <f>SUM(C79:C81)</f>
        <v>0</v>
      </c>
      <c r="D82" s="165">
        <f t="shared" ref="D82" si="83">SUM(D79:D81)</f>
        <v>2250</v>
      </c>
      <c r="E82" s="165">
        <f t="shared" ref="E82" si="84">SUM(E79:E81)</f>
        <v>0</v>
      </c>
      <c r="F82" s="165">
        <f t="shared" ref="F82" si="85">SUM(F79:F81)</f>
        <v>0</v>
      </c>
      <c r="G82" s="165">
        <f t="shared" ref="G82" si="86">SUM(G79:G81)</f>
        <v>0</v>
      </c>
      <c r="H82" s="165">
        <f t="shared" ref="H82" si="87">SUM(H79:H81)</f>
        <v>0</v>
      </c>
      <c r="I82" s="165">
        <f t="shared" ref="I82" si="88">SUM(I79:I81)</f>
        <v>0</v>
      </c>
      <c r="J82" s="165">
        <f t="shared" ref="J82" si="89">SUM(J79:J81)</f>
        <v>0</v>
      </c>
      <c r="K82" s="165">
        <f t="shared" ref="K82" si="90">SUM(K79:K81)</f>
        <v>0</v>
      </c>
      <c r="L82" s="165">
        <f t="shared" ref="L82" si="91">SUM(L79:L81)</f>
        <v>0</v>
      </c>
      <c r="M82" s="165">
        <f t="shared" ref="M82" si="92">SUM(M79:M81)</f>
        <v>0</v>
      </c>
      <c r="N82" s="165">
        <f t="shared" ref="N82" si="93">SUM(N79:N81)</f>
        <v>0</v>
      </c>
      <c r="O82" s="165">
        <f t="shared" ref="O82" si="94">SUM(O79:O81)</f>
        <v>2250</v>
      </c>
      <c r="P82" s="165">
        <f t="shared" ref="P82" si="95">SUM(P79:P81)</f>
        <v>0</v>
      </c>
      <c r="Q82" s="165">
        <f t="shared" ref="Q82" si="96">SUM(Q79:Q81)</f>
        <v>2250</v>
      </c>
      <c r="R82" s="165">
        <f t="shared" ref="R82" si="97">SUM(R79:R81)</f>
        <v>3000</v>
      </c>
      <c r="S82" s="165">
        <f t="shared" ref="S82" si="98">SUM(S79:S81)</f>
        <v>750</v>
      </c>
      <c r="T82" s="166">
        <f t="shared" ref="T82" si="99">SUM(T79:T81)</f>
        <v>5.6847337611790304E-2</v>
      </c>
      <c r="U82" s="166">
        <f t="shared" ref="U82" si="100">SUM(U79:U81)</f>
        <v>1.4449660593527836E-2</v>
      </c>
    </row>
    <row r="84" spans="2:21" x14ac:dyDescent="0.3">
      <c r="B84" s="17" t="s">
        <v>186</v>
      </c>
      <c r="C84" s="128">
        <f t="shared" ref="C84:U84" si="101">SUM(C22,C32,C42,C48,C70,C76,C82)</f>
        <v>26630.79</v>
      </c>
      <c r="D84" s="128">
        <f t="shared" si="101"/>
        <v>12948.9</v>
      </c>
      <c r="E84" s="128">
        <f t="shared" si="101"/>
        <v>0</v>
      </c>
      <c r="F84" s="128">
        <f t="shared" si="101"/>
        <v>0</v>
      </c>
      <c r="G84" s="128">
        <f t="shared" si="101"/>
        <v>0</v>
      </c>
      <c r="H84" s="128">
        <f t="shared" si="101"/>
        <v>0</v>
      </c>
      <c r="I84" s="128">
        <f t="shared" si="101"/>
        <v>0</v>
      </c>
      <c r="J84" s="128">
        <f t="shared" si="101"/>
        <v>0</v>
      </c>
      <c r="K84" s="128">
        <f t="shared" si="101"/>
        <v>0</v>
      </c>
      <c r="L84" s="128">
        <f t="shared" si="101"/>
        <v>0</v>
      </c>
      <c r="M84" s="128">
        <f t="shared" si="101"/>
        <v>0</v>
      </c>
      <c r="N84" s="128">
        <f t="shared" si="101"/>
        <v>0</v>
      </c>
      <c r="O84" s="128">
        <f t="shared" si="101"/>
        <v>39579.69</v>
      </c>
      <c r="P84" s="128">
        <f t="shared" si="101"/>
        <v>0</v>
      </c>
      <c r="Q84" s="128">
        <f>SUM(Q22,Q32,Q42,Q48,Q70,Q76,Q82)</f>
        <v>39579.69</v>
      </c>
      <c r="R84" s="128">
        <f t="shared" si="101"/>
        <v>173997.99</v>
      </c>
      <c r="S84" s="128">
        <f t="shared" si="101"/>
        <v>134418.30000000002</v>
      </c>
      <c r="T84" s="168">
        <f t="shared" si="101"/>
        <v>1.0000000000000002</v>
      </c>
      <c r="U84" s="168">
        <f t="shared" si="101"/>
        <v>0.25418359417646569</v>
      </c>
    </row>
    <row r="85" spans="2:21" x14ac:dyDescent="0.3">
      <c r="Q85" s="169">
        <f>SUM(Payments!H:H)</f>
        <v>39579.689999999988</v>
      </c>
    </row>
    <row r="86" spans="2:21" x14ac:dyDescent="0.3">
      <c r="M86" s="170"/>
      <c r="N86" s="170"/>
      <c r="O86" s="170"/>
      <c r="P86" s="171" t="s">
        <v>90</v>
      </c>
      <c r="Q86" s="172">
        <f>SUM(Payments!H:H)</f>
        <v>39579.689999999988</v>
      </c>
    </row>
    <row r="87" spans="2:21" x14ac:dyDescent="0.3">
      <c r="N87" s="11" t="s">
        <v>257</v>
      </c>
      <c r="Q87" s="173">
        <v>195529.79</v>
      </c>
    </row>
    <row r="88" spans="2:21" x14ac:dyDescent="0.3">
      <c r="N88" s="11" t="s">
        <v>258</v>
      </c>
      <c r="Q88" s="173">
        <f>Q87-W7</f>
        <v>180492.59</v>
      </c>
      <c r="R88" s="268" t="s">
        <v>259</v>
      </c>
    </row>
    <row r="89" spans="2:21" x14ac:dyDescent="0.3">
      <c r="N89" s="11" t="s">
        <v>260</v>
      </c>
      <c r="Q89" s="266">
        <f>W7</f>
        <v>15037.2</v>
      </c>
      <c r="R89" s="268" t="s">
        <v>261</v>
      </c>
    </row>
    <row r="97" spans="20:20" x14ac:dyDescent="0.3">
      <c r="T97" s="153"/>
    </row>
    <row r="98" spans="20:20" x14ac:dyDescent="0.3">
      <c r="T98" s="153"/>
    </row>
    <row r="99" spans="20:20" x14ac:dyDescent="0.3">
      <c r="T99" s="153"/>
    </row>
    <row r="100" spans="20:20" x14ac:dyDescent="0.3">
      <c r="T100" s="153"/>
    </row>
    <row r="101" spans="20:20" x14ac:dyDescent="0.3">
      <c r="T101" s="153"/>
    </row>
  </sheetData>
  <mergeCells count="5">
    <mergeCell ref="P4:P5"/>
    <mergeCell ref="Q4:Q5"/>
    <mergeCell ref="R4:R5"/>
    <mergeCell ref="S4:S5"/>
    <mergeCell ref="B4:B5"/>
  </mergeCells>
  <conditionalFormatting sqref="T2">
    <cfRule type="cellIs" dxfId="2" priority="1" operator="equal">
      <formula>"Shortfall"</formula>
    </cfRule>
  </conditionalFormatting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9</vt:i4>
      </vt:variant>
    </vt:vector>
  </HeadingPairs>
  <TitlesOfParts>
    <vt:vector size="22" baseType="lpstr">
      <vt:lpstr>Assets</vt:lpstr>
      <vt:lpstr>Payments</vt:lpstr>
      <vt:lpstr>Reserves</vt:lpstr>
      <vt:lpstr>Receipts</vt:lpstr>
      <vt:lpstr>Transfers</vt:lpstr>
      <vt:lpstr>AGAR</vt:lpstr>
      <vt:lpstr>Bank Recons</vt:lpstr>
      <vt:lpstr>Budget</vt:lpstr>
      <vt:lpstr>Expenditure</vt:lpstr>
      <vt:lpstr>Precept</vt:lpstr>
      <vt:lpstr>Income</vt:lpstr>
      <vt:lpstr>Summaries</vt:lpstr>
      <vt:lpstr>SETUP</vt:lpstr>
      <vt:lpstr>CY</vt:lpstr>
      <vt:lpstr>AGAR!Print_Area</vt:lpstr>
      <vt:lpstr>'Bank Recons'!Print_Area</vt:lpstr>
      <vt:lpstr>Expenditure!Print_Area</vt:lpstr>
      <vt:lpstr>Payments!Print_Area</vt:lpstr>
      <vt:lpstr>Receipts!Print_Area</vt:lpstr>
      <vt:lpstr>Assets!Print_Titles</vt:lpstr>
      <vt:lpstr>Payments!Print_Titles</vt:lpstr>
      <vt:lpstr>Receipts!Print_Titles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Shaw</dc:creator>
  <cp:lastModifiedBy>Barnton Parish Council BPC</cp:lastModifiedBy>
  <cp:lastPrinted>2025-12-04T12:48:17Z</cp:lastPrinted>
  <dcterms:created xsi:type="dcterms:W3CDTF">2023-03-18T22:00:10Z</dcterms:created>
  <dcterms:modified xsi:type="dcterms:W3CDTF">2026-06-08T13:19:00Z</dcterms:modified>
</cp:coreProperties>
</file>